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R&amp;R study" sheetId="1" state="visible" r:id="rId3"/>
    <sheet name="GR&amp;R worked example" sheetId="2" state="visible" r:id="rId4"/>
    <sheet name="Type 1 study" sheetId="3" state="visible" r:id="rId5"/>
    <sheet name="Type 1 example" sheetId="4" state="visible" r:id="rId6"/>
    <sheet name="How to use" sheetId="5" state="visible" r:id="rId7"/>
  </sheets>
  <definedNames>
    <definedName function="false" hidden="false" localSheetId="0" name="_xlnm.Print_Area" vbProcedure="false">'GR&amp;R study'!$A$1:$T$54</definedName>
    <definedName function="false" hidden="false" localSheetId="1" name="_xlnm.Print_Area" vbProcedure="false">'GR&amp;R worked example'!$A$1:$T$54</definedName>
    <definedName function="false" hidden="false" localSheetId="3" name="_xlnm.Print_Area" vbProcedure="false">'Type 1 example'!$A$1:$L$24</definedName>
    <definedName function="false" hidden="false" localSheetId="2" name="_xlnm.Print_Area" vbProcedure="false">'Type 1 study'!$A$1:$L$24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<sst xmlns="http://schemas.openxmlformats.org/spreadsheetml/2006/main" count="288" uniqueCount="152">
  <si>
    <t xml:space="preserve">Gage R&amp;R study — crossed, 10 parts × 3 appraisers × 3 trials</t>
  </si>
  <si>
    <t xml:space="preserve">Fill the yellow cells: the study details, the specification limits and all 90 readings. Number the parts underneath, randomise the order for every trial, and keep the appraisers blind to each other's (and their own earlier) readings.</t>
  </si>
  <si>
    <t xml:space="preserve">Gauge / asset no.</t>
  </si>
  <si>
    <t xml:space="preserve">Lower spec limit (LSL)</t>
  </si>
  <si>
    <t xml:space="preserve">Characteristic</t>
  </si>
  <si>
    <t xml:space="preserve">Upper spec limit (USL)</t>
  </si>
  <si>
    <t xml:space="preserve">Part number</t>
  </si>
  <si>
    <t xml:space="preserve">Process std dev (optional)</t>
  </si>
  <si>
    <t xml:space="preserve">← long-term σ, if known</t>
  </si>
  <si>
    <t xml:space="preserve">Study date / by</t>
  </si>
  <si>
    <t xml:space="preserve">Appraisers A / B / C</t>
  </si>
  <si>
    <t xml:space="preserve">Tolerance (USL − LSL)</t>
  </si>
  <si>
    <t xml:space="preserve">Readings</t>
  </si>
  <si>
    <t xml:space="preserve">Part</t>
  </si>
  <si>
    <t xml:space="preserve">Appraiser A</t>
  </si>
  <si>
    <t xml:space="preserve">Appraiser B</t>
  </si>
  <si>
    <t xml:space="preserve">Appraiser C</t>
  </si>
  <si>
    <t xml:space="preserve">Calculation columns (do not edit)</t>
  </si>
  <si>
    <t xml:space="preserve">no.</t>
  </si>
  <si>
    <t xml:space="preserve">Trial 1</t>
  </si>
  <si>
    <t xml:space="preserve">Trial 2</t>
  </si>
  <si>
    <t xml:space="preserve">Trial 3</t>
  </si>
  <si>
    <t xml:space="preserve">Part mean</t>
  </si>
  <si>
    <t xml:space="preserve">Mean A</t>
  </si>
  <si>
    <t xml:space="preserve">Mean B</t>
  </si>
  <si>
    <t xml:space="preserve">Mean C</t>
  </si>
  <si>
    <t xml:space="preserve">Range A</t>
  </si>
  <si>
    <t xml:space="preserve">Range B</t>
  </si>
  <si>
    <t xml:space="preserve">Range C</t>
  </si>
  <si>
    <t xml:space="preserve">Appraiser mean</t>
  </si>
  <si>
    <t xml:space="preserve">Avg range</t>
  </si>
  <si>
    <t xml:space="preserve">Readings entered</t>
  </si>
  <si>
    <t xml:space="preserve">ANOVA method (preferred)</t>
  </si>
  <si>
    <t xml:space="preserve">Average &amp; range method</t>
  </si>
  <si>
    <t xml:space="preserve">Source</t>
  </si>
  <si>
    <t xml:space="preserve">DF</t>
  </si>
  <si>
    <t xml:space="preserve">SS</t>
  </si>
  <si>
    <t xml:space="preserve">MS</t>
  </si>
  <si>
    <t xml:space="preserve">F</t>
  </si>
  <si>
    <t xml:space="preserve">p-value</t>
  </si>
  <si>
    <t xml:space="preserve">Quantity</t>
  </si>
  <si>
    <t xml:space="preserve">Value</t>
  </si>
  <si>
    <t xml:space="preserve">% tolerance</t>
  </si>
  <si>
    <t xml:space="preserve">% study var.</t>
  </si>
  <si>
    <t xml:space="preserve">Parts</t>
  </si>
  <si>
    <t xml:space="preserve">Average range R̿</t>
  </si>
  <si>
    <t xml:space="preserve">Appraisers</t>
  </si>
  <si>
    <t xml:space="preserve">Appraiser-mean spread X̄diff</t>
  </si>
  <si>
    <t xml:space="preserve">Part × appraiser</t>
  </si>
  <si>
    <t xml:space="preserve">Part-mean range Rp</t>
  </si>
  <si>
    <t xml:space="preserve">Repeatability</t>
  </si>
  <si>
    <t xml:space="preserve">EV = R̿ × K1</t>
  </si>
  <si>
    <t xml:space="preserve">Total</t>
  </si>
  <si>
    <t xml:space="preserve">AV = √((X̄diff × K2)² − EV²/(n·r))</t>
  </si>
  <si>
    <t xml:space="preserve">GRR = √(EV² + AV²)</t>
  </si>
  <si>
    <t xml:space="preserve">Interaction</t>
  </si>
  <si>
    <t xml:space="preserve">PV = Rp × K3</t>
  </si>
  <si>
    <t xml:space="preserve">TV = √(GRR² + PV²)</t>
  </si>
  <si>
    <t xml:space="preserve">Component</t>
  </si>
  <si>
    <t xml:space="preserve">Variance</t>
  </si>
  <si>
    <t xml:space="preserve">Std dev</t>
  </si>
  <si>
    <t xml:space="preserve">6 × SD</t>
  </si>
  <si>
    <t xml:space="preserve">% process</t>
  </si>
  <si>
    <t xml:space="preserve">ndc (truncated)</t>
  </si>
  <si>
    <t xml:space="preserve">Repeatability (EV)</t>
  </si>
  <si>
    <t xml:space="preserve">K1 (3 trials)</t>
  </si>
  <si>
    <t xml:space="preserve">Reproducibility (AV)</t>
  </si>
  <si>
    <t xml:space="preserve">K2 (3 appraisers)</t>
  </si>
  <si>
    <t xml:space="preserve">  of which interaction</t>
  </si>
  <si>
    <t xml:space="preserve">K3 (10 parts)</t>
  </si>
  <si>
    <t xml:space="preserve">Gage R&amp;R (GRR)</t>
  </si>
  <si>
    <t xml:space="preserve">K constants are the published values for this 10 × 3 × 3 design (6σ basis). The A&amp;R method cannot detect a part × appraiser interaction — when ANOVA flags one, trust ANOVA.</t>
  </si>
  <si>
    <t xml:space="preserve">Part variation (PV)</t>
  </si>
  <si>
    <t xml:space="preserve">Total variation (TV)</t>
  </si>
  <si>
    <t xml:space="preserve">ndc = 1.41 × PV ÷ GRR, truncated</t>
  </si>
  <si>
    <t xml:space="preserve">Verdict (ANOVA)</t>
  </si>
  <si>
    <t xml:space="preserve">GRR vs tolerance (use for accept / reject decisions)</t>
  </si>
  <si>
    <t xml:space="preserve">GRR vs study variation (process control — parts must span the process)</t>
  </si>
  <si>
    <t xml:space="preserve">GRR vs process std dev (if entered)</t>
  </si>
  <si>
    <t xml:space="preserve">Number of distinct categories</t>
  </si>
  <si>
    <t xml:space="preserve">Where the error lives</t>
  </si>
  <si>
    <t xml:space="preserve">Decision / actions / customer agreement</t>
  </si>
  <si>
    <t xml:space="preserve">Qlause  ·  qlause.app  ·  Interpretive guidance only — follow the AIAG MSA manual / VDA Volume 5 and your customer-specific requirements; work from your licensed copies.</t>
  </si>
  <si>
    <t xml:space="preserve">Gage R&amp;R study — crossed, 10 parts × 3 appraisers × 3 trials (worked example)</t>
  </si>
  <si>
    <t xml:space="preserve">Worked example from the Qlause article 'MSA and Gage R&amp;R explained': height gauge HG-003 on the pump mounting bracket's formed height, 24.5 ± 0.30 mm. Every result below is a live formula — change a reading and watch it move.</t>
  </si>
  <si>
    <t xml:space="preserve">HG-003 height gauge, 0.01 mm resolution</t>
  </si>
  <si>
    <t xml:space="preserve">Formed height (OP10)</t>
  </si>
  <si>
    <t xml:space="preserve">12345 / Rev C — pump mounting bracket</t>
  </si>
  <si>
    <t xml:space="preserve">Worked example</t>
  </si>
  <si>
    <t xml:space="preserve">Setter 1 / Setter 2 / Setter 3</t>
  </si>
  <si>
    <t xml:space="preserve">Marginal (21% of tolerance, ndc 5). Repeatability-dominated; type 1 on the master is 3× tighter, so the scatter is part seating, not the instrument. Action: locating nest + defined measuring point on the WI; re-study after the change. Accepted for use meanwhile with the X-bar/R chart.</t>
  </si>
  <si>
    <t xml:space="preserve">Type 1 gauge study</t>
  </si>
  <si>
    <t xml:space="preserve">One appraiser, one reference part of known value, the same feature measured repeatedly (50 readings is common practice, 25 a minimum), lifting and replacing the part each time. Fill the yellow cells.</t>
  </si>
  <si>
    <t xml:space="preserve">Reference value</t>
  </si>
  <si>
    <t xml:space="preserve">LSL</t>
  </si>
  <si>
    <t xml:space="preserve">USL</t>
  </si>
  <si>
    <t xml:space="preserve">Reading</t>
  </si>
  <si>
    <t xml:space="preserve">+1</t>
  </si>
  <si>
    <t xml:space="preserve">+2</t>
  </si>
  <si>
    <t xml:space="preserve">+3</t>
  </si>
  <si>
    <t xml:space="preserve">+4</t>
  </si>
  <si>
    <t xml:space="preserve">+5</t>
  </si>
  <si>
    <t xml:space="preserve">Result</t>
  </si>
  <si>
    <t xml:space="preserve">Interpretation</t>
  </si>
  <si>
    <t xml:space="preserve">1–5</t>
  </si>
  <si>
    <t xml:space="preserve">Readings (n)</t>
  </si>
  <si>
    <t xml:space="preserve">6–10</t>
  </si>
  <si>
    <t xml:space="preserve">Tolerance T</t>
  </si>
  <si>
    <t xml:space="preserve">11–15</t>
  </si>
  <si>
    <t xml:space="preserve">Mean</t>
  </si>
  <si>
    <t xml:space="preserve">16–20</t>
  </si>
  <si>
    <t xml:space="preserve">Standard deviation s</t>
  </si>
  <si>
    <t xml:space="preserve">21–25</t>
  </si>
  <si>
    <t xml:space="preserve">Bias (mean − reference)</t>
  </si>
  <si>
    <t xml:space="preserve">26–30</t>
  </si>
  <si>
    <t xml:space="preserve">Bias as % of tolerance</t>
  </si>
  <si>
    <t xml:space="preserve">31–35</t>
  </si>
  <si>
    <t xml:space="preserve">Bias t-statistic</t>
  </si>
  <si>
    <t xml:space="preserve">36–40</t>
  </si>
  <si>
    <t xml:space="preserve">Bias p-value (two-sided)</t>
  </si>
  <si>
    <t xml:space="preserve">41–45</t>
  </si>
  <si>
    <t xml:space="preserve">Cg = 0.2·T ÷ 6s</t>
  </si>
  <si>
    <t xml:space="preserve">46–50</t>
  </si>
  <si>
    <t xml:space="preserve">Cgk = (0.1·T − |bias|) ÷ 3s</t>
  </si>
  <si>
    <t xml:space="preserve">Cg / Cgk use the common 20% / 10% of tolerance convention with a 1.33 target; your customer may set others. A type 1 study checks the instrument on a master — it does not replace a Gage R&amp;R on real parts with the real appraisers. Keep resolution at or below a tenth of the tolerance.</t>
  </si>
  <si>
    <t xml:space="preserve">Type 1 gauge study (worked example)</t>
  </si>
  <si>
    <t xml:space="preserve">HG-003 on a certified reference part (24.512 mm): one setter, 50 readings, part lifted and replaced each time.</t>
  </si>
  <si>
    <t xml:space="preserve">HG-003</t>
  </si>
  <si>
    <t xml:space="preserve">How to use this template</t>
  </si>
  <si>
    <t xml:space="preserve">1</t>
  </si>
  <si>
    <t xml:space="preserve">Scope the programme from your control plans: every gauge or test system named in an evaluation-method column needs a study, starting with those on special characteristics.</t>
  </si>
  <si>
    <t xml:space="preserve">2</t>
  </si>
  <si>
    <t xml:space="preserve">Check resolution first: the gauge should read to a tenth of the tolerance (or process spread) or finer.</t>
  </si>
  <si>
    <t xml:space="preserve">3</t>
  </si>
  <si>
    <t xml:space="preserve">Run a Type 1 study on a reference part. If Cg or Cgk is below 1.33, fix the instrument before spending time on a full study.</t>
  </si>
  <si>
    <t xml:space="preserve">4</t>
  </si>
  <si>
    <t xml:space="preserve">Choose ten parts that span the real process range — from a week of production, not ten consecutive parts. Parts that are too alike make any gauge look bad against study variation; hand-picked extremes make any gauge look good.</t>
  </si>
  <si>
    <t xml:space="preserve">5</t>
  </si>
  <si>
    <t xml:space="preserve">Use the people who measure in production, with the production method, in the production location. Number parts underneath, randomise the order for every trial, record the readings for them.</t>
  </si>
  <si>
    <t xml:space="preserve">6</t>
  </si>
  <si>
    <t xml:space="preserve">Enter all 90 readings on the 'GR&amp;R study' sheet. ANOVA is the method to report; the average &amp; range block is there for comparison and hand-checking.</t>
  </si>
  <si>
    <t xml:space="preserve">7</t>
  </si>
  <si>
    <t xml:space="preserve">Pick the right denominator: % tolerance when the gauge accepts or rejects parts; % study variation (or % of a known process standard deviation) when it feeds SPC, capability or set-up decisions.</t>
  </si>
  <si>
    <t xml:space="preserve">8</t>
  </si>
  <si>
    <t xml:space="preserve">Read the bands: under 10% generally acceptable; 10–30% may be acceptable depending on the application, cost and customer agreement — record the decision; over 30% improve the system. ndc should be 5 or more.</t>
  </si>
  <si>
    <t xml:space="preserve">9</t>
  </si>
  <si>
    <t xml:space="preserve">Use the EV / AV split to find the cause: repeatability points at the instrument, fixturing and part seating; reproducibility at method and technique.</t>
  </si>
  <si>
    <t xml:space="preserve">10</t>
  </si>
  <si>
    <t xml:space="preserve">Re-study after events: a new or repaired gauge, a new fixture or method, a tolerance or process change, an out-of-control stability chart, or a complaint on a characteristic the gauge checks.</t>
  </si>
  <si>
    <t xml:space="preserve">Attribute (go/no-go) gauges need an attribute agreement study instead — effectiveness, miss rate, false alarm rate and kappa against reference decisions. The article explains how.</t>
  </si>
  <si>
    <t xml:space="preserve">Yellow cells are inputs (blue text = example values). Everything else is a formula — protect the sheet if you circulate it.</t>
  </si>
  <si>
    <t xml:space="preserve">Read the full guide: qlause.app/consulting/insights/msa-gage-rr-explained  ·  Control Plan Template, Process Flow Template and the PFMEA Toolkit: qlause.app/templates</t>
  </si>
</sst>
</file>

<file path=xl/styles.xml><?xml version="1.0" encoding="utf-8"?>
<styleSheet xmlns="http://schemas.openxmlformats.org/spreadsheetml/2006/main">
  <numFmts count="11">
    <numFmt numFmtId="164" formatCode="General"/>
    <numFmt numFmtId="165" formatCode="0.000###"/>
    <numFmt numFmtId="166" formatCode="0.0000"/>
    <numFmt numFmtId="167" formatCode="0"/>
    <numFmt numFmtId="168" formatCode="0.000000"/>
    <numFmt numFmtId="169" formatCode="0.0000000"/>
    <numFmt numFmtId="170" formatCode="0.000"/>
    <numFmt numFmtId="171" formatCode="0.0%"/>
    <numFmt numFmtId="172" formatCode="0.00000000"/>
    <numFmt numFmtId="173" formatCode="0.00000"/>
    <numFmt numFmtId="174" formatCode="0.00"/>
  </numFmts>
  <fonts count="18">
    <font>
      <sz val="11"/>
      <color theme="1"/>
      <name val="Calibri"/>
      <family val="2"/>
      <charset val="1"/>
    </font>
    <font>
      <sz val="10"/>
      <name val="Arial"/>
      <family val="0"/>
    </font>
    <font>
      <sz val="10"/>
      <name val="Arial"/>
      <family val="0"/>
    </font>
    <font>
      <sz val="10"/>
      <name val="Arial"/>
      <family val="0"/>
    </font>
    <font>
      <b val="true"/>
      <sz val="16"/>
      <color rgb="FF0F4C5C"/>
      <name val="Calibri"/>
      <family val="0"/>
      <charset val="1"/>
    </font>
    <font>
      <sz val="9"/>
      <color rgb="FF5E6B72"/>
      <name val="Calibri"/>
      <family val="0"/>
      <charset val="1"/>
    </font>
    <font>
      <b val="true"/>
      <sz val="8"/>
      <color rgb="FF5E6B72"/>
      <name val="Calibri"/>
      <family val="0"/>
      <charset val="1"/>
    </font>
    <font>
      <sz val="9"/>
      <color rgb="FF1E2A30"/>
      <name val="Calibri"/>
      <family val="0"/>
      <charset val="1"/>
    </font>
    <font>
      <i val="true"/>
      <sz val="7"/>
      <color rgb="FF5E6B72"/>
      <name val="Calibri"/>
      <family val="0"/>
      <charset val="1"/>
    </font>
    <font>
      <b val="true"/>
      <sz val="11"/>
      <color rgb="FF0F4C5C"/>
      <name val="Calibri"/>
      <family val="0"/>
      <charset val="1"/>
    </font>
    <font>
      <b val="true"/>
      <sz val="8"/>
      <color rgb="FFFFFFFF"/>
      <name val="Calibri"/>
      <family val="0"/>
      <charset val="1"/>
    </font>
    <font>
      <b val="true"/>
      <sz val="9"/>
      <color rgb="FF1E2A30"/>
      <name val="Calibri"/>
      <family val="0"/>
      <charset val="1"/>
    </font>
    <font>
      <b val="true"/>
      <sz val="9"/>
      <color rgb="FFE8472F"/>
      <name val="Calibri"/>
      <family val="0"/>
      <charset val="1"/>
    </font>
    <font>
      <sz val="9"/>
      <color rgb="FF0000FF"/>
      <name val="Calibri"/>
      <family val="0"/>
      <charset val="1"/>
    </font>
    <font>
      <i val="true"/>
      <sz val="8"/>
      <color rgb="FF5E6B72"/>
      <name val="Calibri"/>
      <family val="0"/>
      <charset val="1"/>
    </font>
    <font>
      <b val="true"/>
      <sz val="11"/>
      <color rgb="FFE8472F"/>
      <name val="Calibri"/>
      <family val="0"/>
      <charset val="1"/>
    </font>
    <font>
      <sz val="10"/>
      <color rgb="FF1E2A30"/>
      <name val="Calibri"/>
      <family val="0"/>
      <charset val="1"/>
    </font>
    <font>
      <b val="true"/>
      <sz val="9"/>
      <color rgb="FF0F4C5C"/>
      <name val="Calibri"/>
      <family val="0"/>
      <charset val="1"/>
    </font>
  </fonts>
  <fills count="5">
    <fill>
      <patternFill patternType="none"/>
    </fill>
    <fill>
      <patternFill patternType="gray125"/>
    </fill>
    <fill>
      <patternFill patternType="solid">
        <fgColor rgb="FFFFF4D6"/>
        <bgColor rgb="FFFFFFFF"/>
      </patternFill>
    </fill>
    <fill>
      <patternFill patternType="solid">
        <fgColor rgb="FFFFFFFF"/>
        <bgColor rgb="FFFFF4D6"/>
      </patternFill>
    </fill>
    <fill>
      <patternFill patternType="solid">
        <fgColor rgb="FF0F4C5C"/>
        <bgColor rgb="FF1E2A30"/>
      </patternFill>
    </fill>
  </fills>
  <borders count="3">
    <border diagonalUp="false" diagonalDown="false">
      <left/>
      <right/>
      <top/>
      <bottom/>
      <diagonal/>
    </border>
    <border diagonalUp="false" diagonalDown="false">
      <left style="thin">
        <color rgb="FFE7E0D4"/>
      </left>
      <right style="thin">
        <color rgb="FFE7E0D4"/>
      </right>
      <top style="thin">
        <color rgb="FFE7E0D4"/>
      </top>
      <bottom style="thin">
        <color rgb="FFE7E0D4"/>
      </bottom>
      <diagonal/>
    </border>
    <border diagonalUp="false" diagonalDown="false">
      <left style="thin">
        <color rgb="FFE7E0D4"/>
      </left>
      <right/>
      <top style="thin">
        <color rgb="FFE7E0D4"/>
      </top>
      <bottom style="thin">
        <color rgb="FFE7E0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7" fillId="3"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6" fontId="7" fillId="3"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6" fontId="7" fillId="3" borderId="2" xfId="0" applyFont="true" applyBorder="true" applyAlignment="true" applyProtection="false">
      <alignment horizontal="center" vertical="center" textRotation="0" wrapText="true" indent="0" shrinkToFit="false"/>
      <protection locked="true" hidden="false"/>
    </xf>
    <xf numFmtId="167" fontId="7" fillId="3"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8" fontId="7" fillId="3" borderId="1" xfId="0" applyFont="true" applyBorder="true" applyAlignment="true" applyProtection="false">
      <alignment horizontal="center" vertical="center" textRotation="0" wrapText="true" indent="0" shrinkToFit="false"/>
      <protection locked="true" hidden="false"/>
    </xf>
    <xf numFmtId="169" fontId="7" fillId="3" borderId="1"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70" fontId="7" fillId="3" borderId="1" xfId="0" applyFont="true" applyBorder="true" applyAlignment="true" applyProtection="false">
      <alignment horizontal="center" vertical="center" textRotation="0" wrapText="true" indent="0" shrinkToFit="false"/>
      <protection locked="true" hidden="false"/>
    </xf>
    <xf numFmtId="171" fontId="7" fillId="3" borderId="1" xfId="0" applyFont="true" applyBorder="true" applyAlignment="true" applyProtection="false">
      <alignment horizontal="center" vertical="center" textRotation="0" wrapText="true" indent="0" shrinkToFit="false"/>
      <protection locked="true" hidden="false"/>
    </xf>
    <xf numFmtId="166" fontId="11" fillId="3" borderId="1" xfId="0" applyFont="true" applyBorder="true" applyAlignment="true" applyProtection="false">
      <alignment horizontal="center" vertical="center" textRotation="0" wrapText="true" indent="0" shrinkToFit="false"/>
      <protection locked="true" hidden="false"/>
    </xf>
    <xf numFmtId="171" fontId="11"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72" fontId="7" fillId="3"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11"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3" fillId="2" borderId="1" xfId="0" applyFont="true" applyBorder="true" applyAlignment="true" applyProtection="false">
      <alignment horizontal="left" vertical="center" textRotation="0" wrapText="true" indent="0" shrinkToFit="false"/>
      <protection locked="true" hidden="false"/>
    </xf>
    <xf numFmtId="165" fontId="13" fillId="2" borderId="1" xfId="0" applyFont="true" applyBorder="true" applyAlignment="true" applyProtection="false">
      <alignment horizontal="center" vertical="center" textRotation="0" wrapText="true" indent="0" shrinkToFit="false"/>
      <protection locked="true" hidden="false"/>
    </xf>
    <xf numFmtId="164" fontId="13" fillId="2"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center" textRotation="0" wrapText="true" indent="0" shrinkToFit="false"/>
      <protection locked="true" hidden="false"/>
    </xf>
    <xf numFmtId="173" fontId="7" fillId="3" borderId="1" xfId="0" applyFont="true" applyBorder="true" applyAlignment="true" applyProtection="false">
      <alignment horizontal="center" vertical="center" textRotation="0" wrapText="true" indent="0" shrinkToFit="false"/>
      <protection locked="true" hidden="false"/>
    </xf>
    <xf numFmtId="174" fontId="7" fillId="3" borderId="1"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74" fontId="11" fillId="3" borderId="1"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D6"/>
      <rgbColor rgb="FFCCFFFF"/>
      <rgbColor rgb="FF660066"/>
      <rgbColor rgb="FFFF8080"/>
      <rgbColor rgb="FF0066CC"/>
      <rgbColor rgb="FFE7E0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8472F"/>
      <rgbColor rgb="FF5E6B72"/>
      <rgbColor rgb="FF969696"/>
      <rgbColor rgb="FF0F4C5C"/>
      <rgbColor rgb="FF339966"/>
      <rgbColor rgb="FF003300"/>
      <rgbColor rgb="FF333300"/>
      <rgbColor rgb="FF993300"/>
      <rgbColor rgb="FF993366"/>
      <rgbColor rgb="FF333399"/>
      <rgbColor rgb="FF1E2A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4C5C"/>
    <pageSetUpPr fitToPage="true"/>
  </sheetPr>
  <dimension ref="B1:S5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9"/>
    <col collapsed="false" customWidth="true" hidden="false" outlineLevel="0" max="11" min="3" style="0" width="8.2"/>
    <col collapsed="false" customWidth="true" hidden="false" outlineLevel="0" max="12" min="12" style="0" width="2.5"/>
    <col collapsed="false" customWidth="true" hidden="false" outlineLevel="0" max="19" min="13" style="0" width="9.2"/>
    <col collapsed="false" customWidth="true" hidden="false" outlineLevel="0" max="20" min="20" style="0" width="2.5"/>
  </cols>
  <sheetData>
    <row r="1" customFormat="false" ht="19.7" hidden="false" customHeight="false" outlineLevel="0" collapsed="false">
      <c r="B1" s="1" t="s">
        <v>0</v>
      </c>
    </row>
    <row r="2" customFormat="false" ht="30" hidden="false" customHeight="true" outlineLevel="0" collapsed="false">
      <c r="B2" s="2" t="s">
        <v>1</v>
      </c>
      <c r="C2" s="2"/>
      <c r="D2" s="2"/>
      <c r="E2" s="2"/>
      <c r="F2" s="2"/>
      <c r="G2" s="2"/>
      <c r="H2" s="2"/>
      <c r="I2" s="2"/>
      <c r="J2" s="2"/>
      <c r="K2" s="2"/>
      <c r="L2" s="2"/>
      <c r="M2" s="2"/>
      <c r="N2" s="2"/>
      <c r="O2" s="2"/>
      <c r="P2" s="2"/>
      <c r="Q2" s="2"/>
      <c r="R2" s="2"/>
      <c r="S2" s="2"/>
    </row>
    <row r="4" customFormat="false" ht="15" hidden="false" customHeight="true" outlineLevel="0" collapsed="false">
      <c r="B4" s="3" t="s">
        <v>2</v>
      </c>
      <c r="C4" s="3"/>
      <c r="D4" s="4"/>
      <c r="E4" s="4"/>
      <c r="F4" s="4"/>
      <c r="G4" s="4"/>
      <c r="H4" s="4"/>
      <c r="J4" s="3" t="s">
        <v>3</v>
      </c>
      <c r="K4" s="3"/>
      <c r="L4" s="3"/>
      <c r="M4" s="3"/>
      <c r="N4" s="5"/>
      <c r="O4" s="5"/>
    </row>
    <row r="5" customFormat="false" ht="15" hidden="false" customHeight="true" outlineLevel="0" collapsed="false">
      <c r="B5" s="3" t="s">
        <v>4</v>
      </c>
      <c r="C5" s="3"/>
      <c r="D5" s="4"/>
      <c r="E5" s="4"/>
      <c r="F5" s="4"/>
      <c r="G5" s="4"/>
      <c r="H5" s="4"/>
      <c r="J5" s="3" t="s">
        <v>5</v>
      </c>
      <c r="K5" s="3"/>
      <c r="L5" s="3"/>
      <c r="M5" s="3"/>
      <c r="N5" s="5"/>
      <c r="O5" s="5"/>
    </row>
    <row r="6" customFormat="false" ht="15" hidden="false" customHeight="true" outlineLevel="0" collapsed="false">
      <c r="B6" s="3" t="s">
        <v>6</v>
      </c>
      <c r="C6" s="3"/>
      <c r="D6" s="4"/>
      <c r="E6" s="4"/>
      <c r="F6" s="4"/>
      <c r="G6" s="4"/>
      <c r="H6" s="4"/>
      <c r="J6" s="3" t="s">
        <v>7</v>
      </c>
      <c r="K6" s="3"/>
      <c r="L6" s="3"/>
      <c r="M6" s="3"/>
      <c r="N6" s="5"/>
      <c r="O6" s="5"/>
      <c r="Q6" s="6" t="s">
        <v>8</v>
      </c>
    </row>
    <row r="7" customFormat="false" ht="15" hidden="false" customHeight="true" outlineLevel="0" collapsed="false">
      <c r="B7" s="3" t="s">
        <v>9</v>
      </c>
      <c r="C7" s="3"/>
      <c r="D7" s="4"/>
      <c r="E7" s="4"/>
      <c r="F7" s="4"/>
      <c r="G7" s="4"/>
      <c r="H7" s="4"/>
      <c r="J7" s="3" t="s">
        <v>10</v>
      </c>
      <c r="K7" s="3"/>
      <c r="L7" s="3"/>
      <c r="M7" s="3"/>
      <c r="N7" s="4"/>
      <c r="O7" s="4"/>
      <c r="P7" s="4"/>
      <c r="Q7" s="4"/>
      <c r="R7" s="4"/>
    </row>
    <row r="8" customFormat="false" ht="15" hidden="false" customHeight="true" outlineLevel="0" collapsed="false">
      <c r="J8" s="3" t="s">
        <v>11</v>
      </c>
      <c r="K8" s="3"/>
      <c r="L8" s="3"/>
      <c r="M8" s="3"/>
      <c r="N8" s="7" t="str">
        <f aca="false">IF(AND(ISNUMBER(N4),ISNUMBER(N5)),N5-N4,"")</f>
        <v/>
      </c>
    </row>
    <row r="10" customFormat="false" ht="15" hidden="false" customHeight="false" outlineLevel="0" collapsed="false">
      <c r="B10" s="8" t="s">
        <v>12</v>
      </c>
    </row>
    <row r="11" customFormat="false" ht="15" hidden="false" customHeight="true" outlineLevel="0" collapsed="false">
      <c r="B11" s="9" t="s">
        <v>13</v>
      </c>
      <c r="C11" s="9" t="s">
        <v>14</v>
      </c>
      <c r="D11" s="9"/>
      <c r="E11" s="9"/>
      <c r="F11" s="9" t="s">
        <v>15</v>
      </c>
      <c r="G11" s="9"/>
      <c r="H11" s="9"/>
      <c r="I11" s="9" t="s">
        <v>16</v>
      </c>
      <c r="J11" s="9"/>
      <c r="K11" s="9"/>
      <c r="M11" s="9" t="s">
        <v>17</v>
      </c>
      <c r="N11" s="9"/>
      <c r="O11" s="9"/>
      <c r="P11" s="9"/>
      <c r="Q11" s="9"/>
      <c r="R11" s="9"/>
      <c r="S11" s="9"/>
    </row>
    <row r="12" customFormat="false" ht="21.75" hidden="false" customHeight="true" outlineLevel="0" collapsed="false">
      <c r="B12" s="9" t="s">
        <v>18</v>
      </c>
      <c r="C12" s="9" t="s">
        <v>19</v>
      </c>
      <c r="D12" s="9" t="s">
        <v>20</v>
      </c>
      <c r="E12" s="9" t="s">
        <v>21</v>
      </c>
      <c r="F12" s="9" t="s">
        <v>19</v>
      </c>
      <c r="G12" s="9" t="s">
        <v>20</v>
      </c>
      <c r="H12" s="9" t="s">
        <v>21</v>
      </c>
      <c r="I12" s="9" t="s">
        <v>19</v>
      </c>
      <c r="J12" s="9" t="s">
        <v>20</v>
      </c>
      <c r="K12" s="9" t="s">
        <v>21</v>
      </c>
      <c r="M12" s="9" t="s">
        <v>22</v>
      </c>
      <c r="N12" s="9" t="s">
        <v>23</v>
      </c>
      <c r="O12" s="9" t="s">
        <v>24</v>
      </c>
      <c r="P12" s="9" t="s">
        <v>25</v>
      </c>
      <c r="Q12" s="9" t="s">
        <v>26</v>
      </c>
      <c r="R12" s="9" t="s">
        <v>27</v>
      </c>
      <c r="S12" s="9" t="s">
        <v>28</v>
      </c>
    </row>
    <row r="13" customFormat="false" ht="15" hidden="false" customHeight="false" outlineLevel="0" collapsed="false">
      <c r="B13" s="10" t="n">
        <v>1</v>
      </c>
      <c r="C13" s="5"/>
      <c r="D13" s="5"/>
      <c r="E13" s="5"/>
      <c r="F13" s="5"/>
      <c r="G13" s="5"/>
      <c r="H13" s="5"/>
      <c r="I13" s="5"/>
      <c r="J13" s="5"/>
      <c r="K13" s="5"/>
      <c r="M13" s="11" t="str">
        <f aca="false">IF(COUNT(C13:K13)=9,AVERAGE(C13:K13),"")</f>
        <v/>
      </c>
      <c r="N13" s="11" t="str">
        <f aca="false">IF(COUNT(C13:E13)=3,AVERAGE(C13:E13),"")</f>
        <v/>
      </c>
      <c r="O13" s="11" t="str">
        <f aca="false">IF(COUNT(F13:H13)=3,AVERAGE(F13:H13),"")</f>
        <v/>
      </c>
      <c r="P13" s="11" t="str">
        <f aca="false">IF(COUNT(I13:K13)=3,AVERAGE(I13:K13),"")</f>
        <v/>
      </c>
      <c r="Q13" s="11" t="str">
        <f aca="false">IF(COUNT(C13:E13)=3,MAX(C13:E13)-MIN(C13:E13),"")</f>
        <v/>
      </c>
      <c r="R13" s="11" t="str">
        <f aca="false">IF(COUNT(F13:H13)=3,MAX(F13:H13)-MIN(F13:H13),"")</f>
        <v/>
      </c>
      <c r="S13" s="11" t="str">
        <f aca="false">IF(COUNT(I13:K13)=3,MAX(I13:K13)-MIN(I13:K13),"")</f>
        <v/>
      </c>
    </row>
    <row r="14" customFormat="false" ht="15" hidden="false" customHeight="false" outlineLevel="0" collapsed="false">
      <c r="B14" s="10" t="n">
        <v>2</v>
      </c>
      <c r="C14" s="5"/>
      <c r="D14" s="5"/>
      <c r="E14" s="5"/>
      <c r="F14" s="5"/>
      <c r="G14" s="5"/>
      <c r="H14" s="5"/>
      <c r="I14" s="5"/>
      <c r="J14" s="5"/>
      <c r="K14" s="5"/>
      <c r="M14" s="11" t="str">
        <f aca="false">IF(COUNT(C14:K14)=9,AVERAGE(C14:K14),"")</f>
        <v/>
      </c>
      <c r="N14" s="11" t="str">
        <f aca="false">IF(COUNT(C14:E14)=3,AVERAGE(C14:E14),"")</f>
        <v/>
      </c>
      <c r="O14" s="11" t="str">
        <f aca="false">IF(COUNT(F14:H14)=3,AVERAGE(F14:H14),"")</f>
        <v/>
      </c>
      <c r="P14" s="11" t="str">
        <f aca="false">IF(COUNT(I14:K14)=3,AVERAGE(I14:K14),"")</f>
        <v/>
      </c>
      <c r="Q14" s="11" t="str">
        <f aca="false">IF(COUNT(C14:E14)=3,MAX(C14:E14)-MIN(C14:E14),"")</f>
        <v/>
      </c>
      <c r="R14" s="11" t="str">
        <f aca="false">IF(COUNT(F14:H14)=3,MAX(F14:H14)-MIN(F14:H14),"")</f>
        <v/>
      </c>
      <c r="S14" s="11" t="str">
        <f aca="false">IF(COUNT(I14:K14)=3,MAX(I14:K14)-MIN(I14:K14),"")</f>
        <v/>
      </c>
    </row>
    <row r="15" customFormat="false" ht="15" hidden="false" customHeight="false" outlineLevel="0" collapsed="false">
      <c r="B15" s="10" t="n">
        <v>3</v>
      </c>
      <c r="C15" s="5"/>
      <c r="D15" s="5"/>
      <c r="E15" s="5"/>
      <c r="F15" s="5"/>
      <c r="G15" s="5"/>
      <c r="H15" s="5"/>
      <c r="I15" s="5"/>
      <c r="J15" s="5"/>
      <c r="K15" s="5"/>
      <c r="M15" s="11" t="str">
        <f aca="false">IF(COUNT(C15:K15)=9,AVERAGE(C15:K15),"")</f>
        <v/>
      </c>
      <c r="N15" s="11" t="str">
        <f aca="false">IF(COUNT(C15:E15)=3,AVERAGE(C15:E15),"")</f>
        <v/>
      </c>
      <c r="O15" s="11" t="str">
        <f aca="false">IF(COUNT(F15:H15)=3,AVERAGE(F15:H15),"")</f>
        <v/>
      </c>
      <c r="P15" s="11" t="str">
        <f aca="false">IF(COUNT(I15:K15)=3,AVERAGE(I15:K15),"")</f>
        <v/>
      </c>
      <c r="Q15" s="11" t="str">
        <f aca="false">IF(COUNT(C15:E15)=3,MAX(C15:E15)-MIN(C15:E15),"")</f>
        <v/>
      </c>
      <c r="R15" s="11" t="str">
        <f aca="false">IF(COUNT(F15:H15)=3,MAX(F15:H15)-MIN(F15:H15),"")</f>
        <v/>
      </c>
      <c r="S15" s="11" t="str">
        <f aca="false">IF(COUNT(I15:K15)=3,MAX(I15:K15)-MIN(I15:K15),"")</f>
        <v/>
      </c>
    </row>
    <row r="16" customFormat="false" ht="15" hidden="false" customHeight="false" outlineLevel="0" collapsed="false">
      <c r="B16" s="10" t="n">
        <v>4</v>
      </c>
      <c r="C16" s="5"/>
      <c r="D16" s="5"/>
      <c r="E16" s="5"/>
      <c r="F16" s="5"/>
      <c r="G16" s="5"/>
      <c r="H16" s="5"/>
      <c r="I16" s="5"/>
      <c r="J16" s="5"/>
      <c r="K16" s="5"/>
      <c r="M16" s="11" t="str">
        <f aca="false">IF(COUNT(C16:K16)=9,AVERAGE(C16:K16),"")</f>
        <v/>
      </c>
      <c r="N16" s="11" t="str">
        <f aca="false">IF(COUNT(C16:E16)=3,AVERAGE(C16:E16),"")</f>
        <v/>
      </c>
      <c r="O16" s="11" t="str">
        <f aca="false">IF(COUNT(F16:H16)=3,AVERAGE(F16:H16),"")</f>
        <v/>
      </c>
      <c r="P16" s="11" t="str">
        <f aca="false">IF(COUNT(I16:K16)=3,AVERAGE(I16:K16),"")</f>
        <v/>
      </c>
      <c r="Q16" s="11" t="str">
        <f aca="false">IF(COUNT(C16:E16)=3,MAX(C16:E16)-MIN(C16:E16),"")</f>
        <v/>
      </c>
      <c r="R16" s="11" t="str">
        <f aca="false">IF(COUNT(F16:H16)=3,MAX(F16:H16)-MIN(F16:H16),"")</f>
        <v/>
      </c>
      <c r="S16" s="11" t="str">
        <f aca="false">IF(COUNT(I16:K16)=3,MAX(I16:K16)-MIN(I16:K16),"")</f>
        <v/>
      </c>
    </row>
    <row r="17" customFormat="false" ht="15" hidden="false" customHeight="false" outlineLevel="0" collapsed="false">
      <c r="B17" s="10" t="n">
        <v>5</v>
      </c>
      <c r="C17" s="5"/>
      <c r="D17" s="5"/>
      <c r="E17" s="5"/>
      <c r="F17" s="5"/>
      <c r="G17" s="5"/>
      <c r="H17" s="5"/>
      <c r="I17" s="5"/>
      <c r="J17" s="5"/>
      <c r="K17" s="5"/>
      <c r="M17" s="11" t="str">
        <f aca="false">IF(COUNT(C17:K17)=9,AVERAGE(C17:K17),"")</f>
        <v/>
      </c>
      <c r="N17" s="11" t="str">
        <f aca="false">IF(COUNT(C17:E17)=3,AVERAGE(C17:E17),"")</f>
        <v/>
      </c>
      <c r="O17" s="11" t="str">
        <f aca="false">IF(COUNT(F17:H17)=3,AVERAGE(F17:H17),"")</f>
        <v/>
      </c>
      <c r="P17" s="11" t="str">
        <f aca="false">IF(COUNT(I17:K17)=3,AVERAGE(I17:K17),"")</f>
        <v/>
      </c>
      <c r="Q17" s="11" t="str">
        <f aca="false">IF(COUNT(C17:E17)=3,MAX(C17:E17)-MIN(C17:E17),"")</f>
        <v/>
      </c>
      <c r="R17" s="11" t="str">
        <f aca="false">IF(COUNT(F17:H17)=3,MAX(F17:H17)-MIN(F17:H17),"")</f>
        <v/>
      </c>
      <c r="S17" s="11" t="str">
        <f aca="false">IF(COUNT(I17:K17)=3,MAX(I17:K17)-MIN(I17:K17),"")</f>
        <v/>
      </c>
    </row>
    <row r="18" customFormat="false" ht="15" hidden="false" customHeight="false" outlineLevel="0" collapsed="false">
      <c r="B18" s="10" t="n">
        <v>6</v>
      </c>
      <c r="C18" s="5"/>
      <c r="D18" s="5"/>
      <c r="E18" s="5"/>
      <c r="F18" s="5"/>
      <c r="G18" s="5"/>
      <c r="H18" s="5"/>
      <c r="I18" s="5"/>
      <c r="J18" s="5"/>
      <c r="K18" s="5"/>
      <c r="M18" s="11" t="str">
        <f aca="false">IF(COUNT(C18:K18)=9,AVERAGE(C18:K18),"")</f>
        <v/>
      </c>
      <c r="N18" s="11" t="str">
        <f aca="false">IF(COUNT(C18:E18)=3,AVERAGE(C18:E18),"")</f>
        <v/>
      </c>
      <c r="O18" s="11" t="str">
        <f aca="false">IF(COUNT(F18:H18)=3,AVERAGE(F18:H18),"")</f>
        <v/>
      </c>
      <c r="P18" s="11" t="str">
        <f aca="false">IF(COUNT(I18:K18)=3,AVERAGE(I18:K18),"")</f>
        <v/>
      </c>
      <c r="Q18" s="11" t="str">
        <f aca="false">IF(COUNT(C18:E18)=3,MAX(C18:E18)-MIN(C18:E18),"")</f>
        <v/>
      </c>
      <c r="R18" s="11" t="str">
        <f aca="false">IF(COUNT(F18:H18)=3,MAX(F18:H18)-MIN(F18:H18),"")</f>
        <v/>
      </c>
      <c r="S18" s="11" t="str">
        <f aca="false">IF(COUNT(I18:K18)=3,MAX(I18:K18)-MIN(I18:K18),"")</f>
        <v/>
      </c>
    </row>
    <row r="19" customFormat="false" ht="15" hidden="false" customHeight="false" outlineLevel="0" collapsed="false">
      <c r="B19" s="10" t="n">
        <v>7</v>
      </c>
      <c r="C19" s="5"/>
      <c r="D19" s="5"/>
      <c r="E19" s="5"/>
      <c r="F19" s="5"/>
      <c r="G19" s="5"/>
      <c r="H19" s="5"/>
      <c r="I19" s="5"/>
      <c r="J19" s="5"/>
      <c r="K19" s="5"/>
      <c r="M19" s="11" t="str">
        <f aca="false">IF(COUNT(C19:K19)=9,AVERAGE(C19:K19),"")</f>
        <v/>
      </c>
      <c r="N19" s="11" t="str">
        <f aca="false">IF(COUNT(C19:E19)=3,AVERAGE(C19:E19),"")</f>
        <v/>
      </c>
      <c r="O19" s="11" t="str">
        <f aca="false">IF(COUNT(F19:H19)=3,AVERAGE(F19:H19),"")</f>
        <v/>
      </c>
      <c r="P19" s="11" t="str">
        <f aca="false">IF(COUNT(I19:K19)=3,AVERAGE(I19:K19),"")</f>
        <v/>
      </c>
      <c r="Q19" s="11" t="str">
        <f aca="false">IF(COUNT(C19:E19)=3,MAX(C19:E19)-MIN(C19:E19),"")</f>
        <v/>
      </c>
      <c r="R19" s="11" t="str">
        <f aca="false">IF(COUNT(F19:H19)=3,MAX(F19:H19)-MIN(F19:H19),"")</f>
        <v/>
      </c>
      <c r="S19" s="11" t="str">
        <f aca="false">IF(COUNT(I19:K19)=3,MAX(I19:K19)-MIN(I19:K19),"")</f>
        <v/>
      </c>
    </row>
    <row r="20" customFormat="false" ht="15" hidden="false" customHeight="false" outlineLevel="0" collapsed="false">
      <c r="B20" s="10" t="n">
        <v>8</v>
      </c>
      <c r="C20" s="5"/>
      <c r="D20" s="5"/>
      <c r="E20" s="5"/>
      <c r="F20" s="5"/>
      <c r="G20" s="5"/>
      <c r="H20" s="5"/>
      <c r="I20" s="5"/>
      <c r="J20" s="5"/>
      <c r="K20" s="5"/>
      <c r="M20" s="11" t="str">
        <f aca="false">IF(COUNT(C20:K20)=9,AVERAGE(C20:K20),"")</f>
        <v/>
      </c>
      <c r="N20" s="11" t="str">
        <f aca="false">IF(COUNT(C20:E20)=3,AVERAGE(C20:E20),"")</f>
        <v/>
      </c>
      <c r="O20" s="11" t="str">
        <f aca="false">IF(COUNT(F20:H20)=3,AVERAGE(F20:H20),"")</f>
        <v/>
      </c>
      <c r="P20" s="11" t="str">
        <f aca="false">IF(COUNT(I20:K20)=3,AVERAGE(I20:K20),"")</f>
        <v/>
      </c>
      <c r="Q20" s="11" t="str">
        <f aca="false">IF(COUNT(C20:E20)=3,MAX(C20:E20)-MIN(C20:E20),"")</f>
        <v/>
      </c>
      <c r="R20" s="11" t="str">
        <f aca="false">IF(COUNT(F20:H20)=3,MAX(F20:H20)-MIN(F20:H20),"")</f>
        <v/>
      </c>
      <c r="S20" s="11" t="str">
        <f aca="false">IF(COUNT(I20:K20)=3,MAX(I20:K20)-MIN(I20:K20),"")</f>
        <v/>
      </c>
    </row>
    <row r="21" customFormat="false" ht="15" hidden="false" customHeight="false" outlineLevel="0" collapsed="false">
      <c r="B21" s="10" t="n">
        <v>9</v>
      </c>
      <c r="C21" s="5"/>
      <c r="D21" s="5"/>
      <c r="E21" s="5"/>
      <c r="F21" s="5"/>
      <c r="G21" s="5"/>
      <c r="H21" s="5"/>
      <c r="I21" s="5"/>
      <c r="J21" s="5"/>
      <c r="K21" s="5"/>
      <c r="M21" s="11" t="str">
        <f aca="false">IF(COUNT(C21:K21)=9,AVERAGE(C21:K21),"")</f>
        <v/>
      </c>
      <c r="N21" s="11" t="str">
        <f aca="false">IF(COUNT(C21:E21)=3,AVERAGE(C21:E21),"")</f>
        <v/>
      </c>
      <c r="O21" s="11" t="str">
        <f aca="false">IF(COUNT(F21:H21)=3,AVERAGE(F21:H21),"")</f>
        <v/>
      </c>
      <c r="P21" s="11" t="str">
        <f aca="false">IF(COUNT(I21:K21)=3,AVERAGE(I21:K21),"")</f>
        <v/>
      </c>
      <c r="Q21" s="11" t="str">
        <f aca="false">IF(COUNT(C21:E21)=3,MAX(C21:E21)-MIN(C21:E21),"")</f>
        <v/>
      </c>
      <c r="R21" s="11" t="str">
        <f aca="false">IF(COUNT(F21:H21)=3,MAX(F21:H21)-MIN(F21:H21),"")</f>
        <v/>
      </c>
      <c r="S21" s="11" t="str">
        <f aca="false">IF(COUNT(I21:K21)=3,MAX(I21:K21)-MIN(I21:K21),"")</f>
        <v/>
      </c>
    </row>
    <row r="22" customFormat="false" ht="15" hidden="false" customHeight="false" outlineLevel="0" collapsed="false">
      <c r="B22" s="10" t="n">
        <v>10</v>
      </c>
      <c r="C22" s="5"/>
      <c r="D22" s="5"/>
      <c r="E22" s="5"/>
      <c r="F22" s="5"/>
      <c r="G22" s="5"/>
      <c r="H22" s="5"/>
      <c r="I22" s="5"/>
      <c r="J22" s="5"/>
      <c r="K22" s="5"/>
      <c r="M22" s="11" t="str">
        <f aca="false">IF(COUNT(C22:K22)=9,AVERAGE(C22:K22),"")</f>
        <v/>
      </c>
      <c r="N22" s="11" t="str">
        <f aca="false">IF(COUNT(C22:E22)=3,AVERAGE(C22:E22),"")</f>
        <v/>
      </c>
      <c r="O22" s="11" t="str">
        <f aca="false">IF(COUNT(F22:H22)=3,AVERAGE(F22:H22),"")</f>
        <v/>
      </c>
      <c r="P22" s="11" t="str">
        <f aca="false">IF(COUNT(I22:K22)=3,AVERAGE(I22:K22),"")</f>
        <v/>
      </c>
      <c r="Q22" s="11" t="str">
        <f aca="false">IF(COUNT(C22:E22)=3,MAX(C22:E22)-MIN(C22:E22),"")</f>
        <v/>
      </c>
      <c r="R22" s="11" t="str">
        <f aca="false">IF(COUNT(F22:H22)=3,MAX(F22:H22)-MIN(F22:H22),"")</f>
        <v/>
      </c>
      <c r="S22" s="11" t="str">
        <f aca="false">IF(COUNT(I22:K22)=3,MAX(I22:K22)-MIN(I22:K22),"")</f>
        <v/>
      </c>
    </row>
    <row r="23" customFormat="false" ht="20.85" hidden="false" customHeight="false" outlineLevel="0" collapsed="false">
      <c r="B23" s="12" t="s">
        <v>29</v>
      </c>
      <c r="C23" s="13" t="str">
        <f aca="false">IF(COUNT(C13:E22)=30,AVERAGE(C13:E22),"")</f>
        <v/>
      </c>
      <c r="D23" s="13"/>
      <c r="E23" s="13"/>
      <c r="F23" s="13" t="str">
        <f aca="false">IF(COUNT(F13:H22)=30,AVERAGE(F13:H22),"")</f>
        <v/>
      </c>
      <c r="G23" s="13"/>
      <c r="H23" s="13"/>
      <c r="I23" s="13" t="str">
        <f aca="false">IF(COUNT(I13:K22)=30,AVERAGE(I13:K22),"")</f>
        <v/>
      </c>
      <c r="J23" s="13"/>
      <c r="K23" s="13"/>
      <c r="M23" s="12" t="s">
        <v>30</v>
      </c>
      <c r="Q23" s="11" t="str">
        <f aca="false">IF(COUNT(Q13:Q22)=10,AVERAGE(Q13:Q22),"")</f>
        <v/>
      </c>
      <c r="R23" s="11" t="str">
        <f aca="false">IF(COUNT(R13:R22)=10,AVERAGE(R13:R22),"")</f>
        <v/>
      </c>
      <c r="S23" s="11" t="str">
        <f aca="false">IF(COUNT(S13:S22)=10,AVERAGE(S13:S22),"")</f>
        <v/>
      </c>
    </row>
    <row r="24" customFormat="false" ht="15" hidden="false" customHeight="true" outlineLevel="0" collapsed="false">
      <c r="B24" s="3" t="s">
        <v>31</v>
      </c>
      <c r="C24" s="3"/>
      <c r="D24" s="3"/>
      <c r="E24" s="14" t="n">
        <f aca="false">COUNT(C13:K22)</f>
        <v>0</v>
      </c>
      <c r="F24" s="15" t="str">
        <f aca="false">IF($E$24=90,"Complete — results below are live","Enter all 90 readings to see results")</f>
        <v>Enter all 90 readings to see results</v>
      </c>
      <c r="G24" s="15"/>
      <c r="H24" s="15"/>
      <c r="I24" s="15"/>
      <c r="J24" s="15"/>
      <c r="K24" s="15"/>
    </row>
    <row r="26" customFormat="false" ht="15" hidden="false" customHeight="false" outlineLevel="0" collapsed="false">
      <c r="B26" s="8" t="s">
        <v>32</v>
      </c>
      <c r="K26" s="8" t="s">
        <v>33</v>
      </c>
    </row>
    <row r="27" customFormat="false" ht="15" hidden="false" customHeight="true" outlineLevel="0" collapsed="false">
      <c r="B27" s="9" t="s">
        <v>34</v>
      </c>
      <c r="C27" s="9"/>
      <c r="D27" s="9" t="s">
        <v>35</v>
      </c>
      <c r="E27" s="9" t="s">
        <v>36</v>
      </c>
      <c r="F27" s="9" t="s">
        <v>37</v>
      </c>
      <c r="G27" s="9" t="s">
        <v>38</v>
      </c>
      <c r="H27" s="9" t="s">
        <v>39</v>
      </c>
      <c r="K27" s="9" t="s">
        <v>40</v>
      </c>
      <c r="L27" s="9"/>
      <c r="M27" s="9"/>
      <c r="N27" s="9" t="s">
        <v>41</v>
      </c>
      <c r="O27" s="9" t="s">
        <v>42</v>
      </c>
      <c r="P27" s="9" t="s">
        <v>43</v>
      </c>
    </row>
    <row r="28" customFormat="false" ht="15" hidden="false" customHeight="true" outlineLevel="0" collapsed="false">
      <c r="B28" s="16" t="s">
        <v>44</v>
      </c>
      <c r="C28" s="16"/>
      <c r="D28" s="14" t="n">
        <v>9</v>
      </c>
      <c r="E28" s="17" t="str">
        <f aca="false">IF($E$24=90,9*DEVSQ($M$13:$M$22),"")</f>
        <v/>
      </c>
      <c r="F28" s="18" t="str">
        <f aca="false">IF($E$24=90,E28/D28,"")</f>
        <v/>
      </c>
      <c r="K28" s="19" t="s">
        <v>45</v>
      </c>
      <c r="L28" s="19"/>
      <c r="M28" s="19"/>
      <c r="N28" s="11" t="str">
        <f aca="false">IF($E$24=90,AVERAGE($Q$23:$S$23),"")</f>
        <v/>
      </c>
    </row>
    <row r="29" customFormat="false" ht="22.35" hidden="false" customHeight="true" outlineLevel="0" collapsed="false">
      <c r="B29" s="16" t="s">
        <v>46</v>
      </c>
      <c r="C29" s="16"/>
      <c r="D29" s="14" t="n">
        <v>2</v>
      </c>
      <c r="E29" s="17" t="str">
        <f aca="false">IF($E$24=90,30*DEVSQ($C$23,$F$23,$I$23),"")</f>
        <v/>
      </c>
      <c r="F29" s="18" t="str">
        <f aca="false">IF($E$24=90,E29/D29,"")</f>
        <v/>
      </c>
      <c r="K29" s="19" t="s">
        <v>47</v>
      </c>
      <c r="L29" s="19"/>
      <c r="M29" s="19"/>
      <c r="N29" s="11" t="str">
        <f aca="false">IF($E$24=90,MAX($C$23,$F$23,$I$23)-MIN($C$23,$F$23,$I$23),"")</f>
        <v/>
      </c>
    </row>
    <row r="30" customFormat="false" ht="15" hidden="false" customHeight="true" outlineLevel="0" collapsed="false">
      <c r="B30" s="16" t="s">
        <v>48</v>
      </c>
      <c r="C30" s="16"/>
      <c r="D30" s="14" t="n">
        <v>18</v>
      </c>
      <c r="E30" s="17" t="str">
        <f aca="false">IF($E$24=90,3*DEVSQ($N$13:$P$22)-E28-E29,"")</f>
        <v/>
      </c>
      <c r="F30" s="18" t="str">
        <f aca="false">IF($E$24=90,E30/D30,"")</f>
        <v/>
      </c>
      <c r="G30" s="20" t="str">
        <f aca="false">IF($E$24=90,IF(F31&gt;0,F30/F31,""),"")</f>
        <v/>
      </c>
      <c r="H30" s="20" t="str">
        <f aca="false">IF(ISNUMBER(G30),FDIST(G30,18,60),"")</f>
        <v/>
      </c>
      <c r="K30" s="19" t="s">
        <v>49</v>
      </c>
      <c r="L30" s="19"/>
      <c r="M30" s="19"/>
      <c r="N30" s="11" t="str">
        <f aca="false">IF($E$24=90,MAX($M$13:$M$22)-MIN($M$13:$M$22),"")</f>
        <v/>
      </c>
    </row>
    <row r="31" customFormat="false" ht="15" hidden="false" customHeight="true" outlineLevel="0" collapsed="false">
      <c r="B31" s="16" t="s">
        <v>50</v>
      </c>
      <c r="C31" s="16"/>
      <c r="D31" s="14" t="n">
        <v>60</v>
      </c>
      <c r="E31" s="17" t="str">
        <f aca="false">IF($E$24=90,DEVSQ($C$13:$K$22)-3*DEVSQ($N$13:$P$22),"")</f>
        <v/>
      </c>
      <c r="F31" s="18" t="str">
        <f aca="false">IF($E$24=90,E31/D31,"")</f>
        <v/>
      </c>
      <c r="K31" s="19" t="s">
        <v>51</v>
      </c>
      <c r="L31" s="19"/>
      <c r="M31" s="19"/>
      <c r="N31" s="11" t="str">
        <f aca="false">IF($E$24=90,N28*$N$37,"")</f>
        <v/>
      </c>
      <c r="O31" s="21" t="str">
        <f aca="false">IF(AND(ISNUMBER(N31),ISNUMBER($N$8)),6*N31/$N$8,"")</f>
        <v/>
      </c>
      <c r="P31" s="21" t="str">
        <f aca="false">IF(AND(ISNUMBER(N31),ISNUMBER($N$35)),IF($N$35&gt;0,N31/$N$35,""),"")</f>
        <v/>
      </c>
    </row>
    <row r="32" customFormat="false" ht="22.35" hidden="false" customHeight="true" outlineLevel="0" collapsed="false">
      <c r="B32" s="16" t="s">
        <v>52</v>
      </c>
      <c r="C32" s="16"/>
      <c r="D32" s="14" t="n">
        <v>89</v>
      </c>
      <c r="E32" s="17" t="str">
        <f aca="false">IF($E$24=90,DEVSQ($C$13:$K$22),"")</f>
        <v/>
      </c>
      <c r="K32" s="19" t="s">
        <v>53</v>
      </c>
      <c r="L32" s="19"/>
      <c r="M32" s="19"/>
      <c r="N32" s="11" t="str">
        <f aca="false">IF($E$24=90,SQRT(MAX(0,(N29*$N$38)^2-N31^2/30)),"")</f>
        <v/>
      </c>
      <c r="O32" s="21" t="str">
        <f aca="false">IF(AND(ISNUMBER(N32),ISNUMBER($N$8)),6*N32/$N$8,"")</f>
        <v/>
      </c>
      <c r="P32" s="21" t="str">
        <f aca="false">IF(AND(ISNUMBER(N32),ISNUMBER($N$35)),IF($N$35&gt;0,N32/$N$35,""),"")</f>
        <v/>
      </c>
    </row>
    <row r="33" customFormat="false" ht="15" hidden="false" customHeight="true" outlineLevel="0" collapsed="false">
      <c r="K33" s="16" t="s">
        <v>54</v>
      </c>
      <c r="L33" s="16"/>
      <c r="M33" s="16"/>
      <c r="N33" s="22" t="str">
        <f aca="false">IF($E$24=90,SQRT(N31^2+N32^2),"")</f>
        <v/>
      </c>
      <c r="O33" s="23" t="str">
        <f aca="false">IF(AND(ISNUMBER(N33),ISNUMBER($N$8)),6*N33/$N$8,"")</f>
        <v/>
      </c>
      <c r="P33" s="23" t="str">
        <f aca="false">IF(AND(ISNUMBER(N33),ISNUMBER($N$35)),IF($N$35&gt;0,N33/$N$35,""),"")</f>
        <v/>
      </c>
    </row>
    <row r="34" customFormat="false" ht="15" hidden="false" customHeight="true" outlineLevel="0" collapsed="false">
      <c r="B34" s="3" t="s">
        <v>55</v>
      </c>
      <c r="C34" s="3"/>
      <c r="D34" s="24" t="str">
        <f aca="false">IF(ISNUMBER(H30),IF(H30&gt;0.25,"Pooled (p &gt; 0.25)","Kept (p ≤ 0.25)"),"")</f>
        <v/>
      </c>
      <c r="E34" s="24"/>
      <c r="F34" s="24"/>
      <c r="G34" s="24"/>
      <c r="H34" s="24"/>
      <c r="K34" s="19" t="s">
        <v>56</v>
      </c>
      <c r="L34" s="19"/>
      <c r="M34" s="19"/>
      <c r="N34" s="11" t="str">
        <f aca="false">IF($E$24=90,N30*$N$39,"")</f>
        <v/>
      </c>
      <c r="P34" s="21" t="str">
        <f aca="false">IF(AND(ISNUMBER(N34),ISNUMBER($N$35)),IF($N$35&gt;0,N34/$N$35,""),"")</f>
        <v/>
      </c>
    </row>
    <row r="35" customFormat="false" ht="15" hidden="false" customHeight="true" outlineLevel="0" collapsed="false">
      <c r="K35" s="19" t="s">
        <v>57</v>
      </c>
      <c r="L35" s="19"/>
      <c r="M35" s="19"/>
      <c r="N35" s="11" t="str">
        <f aca="false">IF($E$24=90,SQRT(N33^2+N34^2),"")</f>
        <v/>
      </c>
    </row>
    <row r="36" customFormat="false" ht="20.85" hidden="false" customHeight="true" outlineLevel="0" collapsed="false">
      <c r="B36" s="9" t="s">
        <v>58</v>
      </c>
      <c r="C36" s="9"/>
      <c r="D36" s="9" t="s">
        <v>59</v>
      </c>
      <c r="E36" s="9" t="s">
        <v>60</v>
      </c>
      <c r="F36" s="9" t="s">
        <v>61</v>
      </c>
      <c r="G36" s="9" t="s">
        <v>42</v>
      </c>
      <c r="H36" s="9" t="s">
        <v>43</v>
      </c>
      <c r="I36" s="9" t="s">
        <v>62</v>
      </c>
      <c r="K36" s="19" t="s">
        <v>63</v>
      </c>
      <c r="L36" s="19"/>
      <c r="M36" s="19"/>
      <c r="N36" s="14" t="str">
        <f aca="false">IF(AND(ISNUMBER(N33),ISNUMBER(N34)),IF(N33&gt;0,INT(1.41*N34/N33),""),"")</f>
        <v/>
      </c>
    </row>
    <row r="37" customFormat="false" ht="15" hidden="false" customHeight="true" outlineLevel="0" collapsed="false">
      <c r="B37" s="19" t="s">
        <v>64</v>
      </c>
      <c r="C37" s="19"/>
      <c r="D37" s="25" t="str">
        <f aca="false">IF($E$24=90,IF(ISNUMBER(SEARCH("Pooled",$D$34)),(($E$30+$E$31)/78),$F$31),"")</f>
        <v/>
      </c>
      <c r="E37" s="11" t="str">
        <f aca="false">IF(ISNUMBER(D37),SQRT(D37),"")</f>
        <v/>
      </c>
      <c r="F37" s="11" t="str">
        <f aca="false">IF(ISNUMBER(E37),6*E37,"")</f>
        <v/>
      </c>
      <c r="G37" s="21" t="str">
        <f aca="false">IF(AND(ISNUMBER(E37),ISNUMBER($N$8)),6*E37/$N$8,"")</f>
        <v/>
      </c>
      <c r="H37" s="21" t="str">
        <f aca="false">IF(AND(ISNUMBER(E37),ISNUMBER($E$42)),IF($E$42&gt;0,E37/$E$42,""),"")</f>
        <v/>
      </c>
      <c r="I37" s="21" t="str">
        <f aca="false">IF(AND(ISNUMBER(E37),ISNUMBER($N$6)),IF($N$6&gt;0,E37/$N$6,""),"")</f>
        <v/>
      </c>
      <c r="K37" s="19" t="s">
        <v>65</v>
      </c>
      <c r="L37" s="19"/>
      <c r="M37" s="19"/>
      <c r="N37" s="11" t="n">
        <v>0.5908</v>
      </c>
    </row>
    <row r="38" customFormat="false" ht="15" hidden="false" customHeight="true" outlineLevel="0" collapsed="false">
      <c r="B38" s="19" t="s">
        <v>66</v>
      </c>
      <c r="C38" s="19"/>
      <c r="D38" s="25" t="str">
        <f aca="false">IF($E$24=90,IF(ISNUMBER(SEARCH("Pooled",$D$34)),MAX(0,($F$29-(($E$30+$E$31)/78))/30),MAX(0,($F$29-$F$30)/30)+MAX(0,($F$30-$F$31)/3)),"")</f>
        <v/>
      </c>
      <c r="E38" s="11" t="str">
        <f aca="false">IF(ISNUMBER(D38),SQRT(D38),"")</f>
        <v/>
      </c>
      <c r="F38" s="11" t="str">
        <f aca="false">IF(ISNUMBER(E38),6*E38,"")</f>
        <v/>
      </c>
      <c r="G38" s="21" t="str">
        <f aca="false">IF(AND(ISNUMBER(E38),ISNUMBER($N$8)),6*E38/$N$8,"")</f>
        <v/>
      </c>
      <c r="H38" s="21" t="str">
        <f aca="false">IF(AND(ISNUMBER(E38),ISNUMBER($E$42)),IF($E$42&gt;0,E38/$E$42,""),"")</f>
        <v/>
      </c>
      <c r="I38" s="21" t="str">
        <f aca="false">IF(AND(ISNUMBER(E38),ISNUMBER($N$6)),IF($N$6&gt;0,E38/$N$6,""),"")</f>
        <v/>
      </c>
      <c r="K38" s="19" t="s">
        <v>67</v>
      </c>
      <c r="L38" s="19"/>
      <c r="M38" s="19"/>
      <c r="N38" s="11" t="n">
        <v>0.5231</v>
      </c>
    </row>
    <row r="39" customFormat="false" ht="15" hidden="false" customHeight="true" outlineLevel="0" collapsed="false">
      <c r="B39" s="19" t="s">
        <v>68</v>
      </c>
      <c r="C39" s="19"/>
      <c r="D39" s="25" t="str">
        <f aca="false">IF($E$24=90,IF(ISNUMBER(SEARCH("Pooled",$D$34)),0,MAX(0,($F$30-$F$31)/3)),"")</f>
        <v/>
      </c>
      <c r="E39" s="11" t="str">
        <f aca="false">IF(ISNUMBER(D39),SQRT(D39),"")</f>
        <v/>
      </c>
      <c r="F39" s="11" t="str">
        <f aca="false">IF(ISNUMBER(E39),6*E39,"")</f>
        <v/>
      </c>
      <c r="G39" s="21" t="str">
        <f aca="false">IF(AND(ISNUMBER(E39),ISNUMBER($N$8)),6*E39/$N$8,"")</f>
        <v/>
      </c>
      <c r="H39" s="21" t="str">
        <f aca="false">IF(AND(ISNUMBER(E39),ISNUMBER($E$42)),IF($E$42&gt;0,E39/$E$42,""),"")</f>
        <v/>
      </c>
      <c r="I39" s="21" t="str">
        <f aca="false">IF(AND(ISNUMBER(E39),ISNUMBER($N$6)),IF($N$6&gt;0,E39/$N$6,""),"")</f>
        <v/>
      </c>
      <c r="K39" s="19" t="s">
        <v>69</v>
      </c>
      <c r="L39" s="19"/>
      <c r="M39" s="19"/>
      <c r="N39" s="11" t="n">
        <v>0.3146</v>
      </c>
    </row>
    <row r="40" customFormat="false" ht="15" hidden="false" customHeight="true" outlineLevel="0" collapsed="false">
      <c r="B40" s="16" t="s">
        <v>70</v>
      </c>
      <c r="C40" s="16"/>
      <c r="D40" s="25" t="str">
        <f aca="false">IF($E$24=90,D37+D38,"")</f>
        <v/>
      </c>
      <c r="E40" s="22" t="str">
        <f aca="false">IF(ISNUMBER(D40),SQRT(D40),"")</f>
        <v/>
      </c>
      <c r="F40" s="11" t="str">
        <f aca="false">IF(ISNUMBER(E40),6*E40,"")</f>
        <v/>
      </c>
      <c r="G40" s="23" t="str">
        <f aca="false">IF(AND(ISNUMBER(E40),ISNUMBER($N$8)),6*E40/$N$8,"")</f>
        <v/>
      </c>
      <c r="H40" s="23" t="str">
        <f aca="false">IF(AND(ISNUMBER(E40),ISNUMBER($E$42)),IF($E$42&gt;0,E40/$E$42,""),"")</f>
        <v/>
      </c>
      <c r="I40" s="21" t="str">
        <f aca="false">IF(AND(ISNUMBER(E40),ISNUMBER($N$6)),IF($N$6&gt;0,E40/$N$6,""),"")</f>
        <v/>
      </c>
      <c r="K40" s="26" t="s">
        <v>71</v>
      </c>
      <c r="L40" s="26"/>
      <c r="M40" s="26"/>
      <c r="N40" s="26"/>
      <c r="O40" s="26"/>
      <c r="P40" s="26"/>
      <c r="Q40" s="26"/>
      <c r="R40" s="26"/>
      <c r="S40" s="26"/>
    </row>
    <row r="41" customFormat="false" ht="15" hidden="false" customHeight="true" outlineLevel="0" collapsed="false">
      <c r="B41" s="19" t="s">
        <v>72</v>
      </c>
      <c r="C41" s="19"/>
      <c r="D41" s="25" t="str">
        <f aca="false">IF($E$24=90,IF(ISNUMBER(SEARCH("Pooled",$D$34)),MAX(0,($F$28-(($E$30+$E$31)/78))/9),MAX(0,($F$28-$F$30)/9)),"")</f>
        <v/>
      </c>
      <c r="E41" s="11" t="str">
        <f aca="false">IF(ISNUMBER(D41),SQRT(D41),"")</f>
        <v/>
      </c>
      <c r="F41" s="11" t="str">
        <f aca="false">IF(ISNUMBER(E41),6*E41,"")</f>
        <v/>
      </c>
      <c r="H41" s="21" t="str">
        <f aca="false">IF(AND(ISNUMBER(E41),ISNUMBER($E$42)),IF($E$42&gt;0,E41/$E$42,""),"")</f>
        <v/>
      </c>
      <c r="K41" s="26"/>
      <c r="L41" s="26"/>
      <c r="M41" s="26"/>
      <c r="N41" s="26"/>
      <c r="O41" s="26"/>
      <c r="P41" s="26"/>
      <c r="Q41" s="26"/>
      <c r="R41" s="26"/>
      <c r="S41" s="26"/>
    </row>
    <row r="42" customFormat="false" ht="15" hidden="false" customHeight="true" outlineLevel="0" collapsed="false">
      <c r="B42" s="19" t="s">
        <v>73</v>
      </c>
      <c r="C42" s="19"/>
      <c r="D42" s="25" t="str">
        <f aca="false">IF($E$24=90,D40+D41,"")</f>
        <v/>
      </c>
      <c r="E42" s="11" t="str">
        <f aca="false">IF(ISNUMBER(D42),SQRT(D42),"")</f>
        <v/>
      </c>
      <c r="F42" s="11" t="str">
        <f aca="false">IF(ISNUMBER(E42),6*E42,"")</f>
        <v/>
      </c>
      <c r="H42" s="21" t="str">
        <f aca="false">IF(AND(ISNUMBER(E42),ISNUMBER($E$42)),IF($E$42&gt;0,E42/$E$42,""),"")</f>
        <v/>
      </c>
    </row>
    <row r="44" customFormat="false" ht="15" hidden="false" customHeight="true" outlineLevel="0" collapsed="false">
      <c r="B44" s="3" t="s">
        <v>74</v>
      </c>
      <c r="C44" s="3"/>
      <c r="D44" s="3"/>
      <c r="E44" s="3"/>
      <c r="F44" s="3"/>
      <c r="G44" s="27" t="str">
        <f aca="false">IF(AND(ISNUMBER(E41),ISNUMBER(E40)),IF(E40&gt;0,INT(1.41*E41/E40),""),"")</f>
        <v/>
      </c>
    </row>
    <row r="46" customFormat="false" ht="15" hidden="false" customHeight="false" outlineLevel="0" collapsed="false">
      <c r="B46" s="8" t="s">
        <v>75</v>
      </c>
    </row>
    <row r="47" customFormat="false" ht="15.75" hidden="false" customHeight="true" outlineLevel="0" collapsed="false">
      <c r="B47" s="16" t="s">
        <v>76</v>
      </c>
      <c r="C47" s="16"/>
      <c r="D47" s="16"/>
      <c r="E47" s="16"/>
      <c r="F47" s="16"/>
      <c r="G47" s="16"/>
      <c r="H47" s="16"/>
      <c r="I47" s="23" t="str">
        <f aca="false">G40</f>
        <v/>
      </c>
      <c r="J47" s="28" t="str">
        <f aca="false">IF(ISNUMBER(G40),IF(G40&lt;0.1,"Under 10% — generally acceptable",IF(G40&lt;=0.3,"10–30% — may be acceptable: record the decision and reasons","Over 30% — not acceptable: improve the measurement system")),"")</f>
        <v/>
      </c>
      <c r="K47" s="28"/>
      <c r="L47" s="28"/>
      <c r="M47" s="28"/>
      <c r="N47" s="28"/>
      <c r="O47" s="28"/>
      <c r="P47" s="28"/>
      <c r="Q47" s="28"/>
      <c r="R47" s="28"/>
      <c r="S47" s="28"/>
    </row>
    <row r="48" customFormat="false" ht="15.75" hidden="false" customHeight="true" outlineLevel="0" collapsed="false">
      <c r="B48" s="16" t="s">
        <v>77</v>
      </c>
      <c r="C48" s="16"/>
      <c r="D48" s="16"/>
      <c r="E48" s="16"/>
      <c r="F48" s="16"/>
      <c r="G48" s="16"/>
      <c r="H48" s="16"/>
      <c r="I48" s="23" t="str">
        <f aca="false">H40</f>
        <v/>
      </c>
      <c r="J48" s="28" t="str">
        <f aca="false">IF(ISNUMBER(H40),IF(H40&lt;0.1,"Under 10% — generally acceptable",IF(H40&lt;=0.3,"10–30% — may be acceptable: record the decision and reasons","Over 30% — not acceptable: improve the measurement system")),"")</f>
        <v/>
      </c>
      <c r="K48" s="28"/>
      <c r="L48" s="28"/>
      <c r="M48" s="28"/>
      <c r="N48" s="28"/>
      <c r="O48" s="28"/>
      <c r="P48" s="28"/>
      <c r="Q48" s="28"/>
      <c r="R48" s="28"/>
      <c r="S48" s="28"/>
    </row>
    <row r="49" customFormat="false" ht="15.75" hidden="false" customHeight="true" outlineLevel="0" collapsed="false">
      <c r="B49" s="16" t="s">
        <v>78</v>
      </c>
      <c r="C49" s="16"/>
      <c r="D49" s="16"/>
      <c r="E49" s="16"/>
      <c r="F49" s="16"/>
      <c r="G49" s="16"/>
      <c r="H49" s="16"/>
      <c r="I49" s="23" t="str">
        <f aca="false">I40</f>
        <v/>
      </c>
      <c r="J49" s="28" t="str">
        <f aca="false">IF(ISNUMBER(I40),IF(I40&lt;0.1,"Under 10% — generally acceptable",IF(I40&lt;=0.3,"10–30% — may be acceptable: record the decision and reasons","Over 30% — not acceptable: improve the measurement system")),"")</f>
        <v/>
      </c>
      <c r="K49" s="28"/>
      <c r="L49" s="28"/>
      <c r="M49" s="28"/>
      <c r="N49" s="28"/>
      <c r="O49" s="28"/>
      <c r="P49" s="28"/>
      <c r="Q49" s="28"/>
      <c r="R49" s="28"/>
      <c r="S49" s="28"/>
    </row>
    <row r="50" customFormat="false" ht="15.75" hidden="false" customHeight="true" outlineLevel="0" collapsed="false">
      <c r="B50" s="16" t="s">
        <v>79</v>
      </c>
      <c r="C50" s="16"/>
      <c r="D50" s="16"/>
      <c r="E50" s="16"/>
      <c r="F50" s="16"/>
      <c r="G50" s="16"/>
      <c r="H50" s="16"/>
      <c r="I50" s="27" t="str">
        <f aca="false">G44</f>
        <v/>
      </c>
      <c r="J50" s="28" t="str">
        <f aca="false">IF(ISNUMBER(G44),IF(G44&gt;=5,"ndc ≥ 5 — adequate discrimination for process control","ndc &lt; 5 — cannot discriminate enough for process control"),"")</f>
        <v/>
      </c>
      <c r="K50" s="28"/>
      <c r="L50" s="28"/>
      <c r="M50" s="28"/>
      <c r="N50" s="28"/>
      <c r="O50" s="28"/>
      <c r="P50" s="28"/>
      <c r="Q50" s="28"/>
      <c r="R50" s="28"/>
      <c r="S50" s="28"/>
    </row>
    <row r="51" customFormat="false" ht="15" hidden="false" customHeight="true" outlineLevel="0" collapsed="false">
      <c r="B51" s="16" t="s">
        <v>80</v>
      </c>
      <c r="C51" s="16"/>
      <c r="D51" s="16"/>
      <c r="E51" s="16"/>
      <c r="F51" s="16"/>
      <c r="G51" s="16"/>
      <c r="H51" s="16"/>
      <c r="J51" s="28" t="str">
        <f aca="false">IF(AND(ISNUMBER(E37),ISNUMBER(E38)),IF(E37&gt;=E38,"Repeatability dominates — look at the instrument, fixturing and how the part sits / where it is measured","Reproducibility dominates — look at method, training and technique between appraisers"),"")</f>
        <v/>
      </c>
      <c r="K51" s="28"/>
      <c r="L51" s="28"/>
      <c r="M51" s="28"/>
      <c r="N51" s="28"/>
      <c r="O51" s="28"/>
      <c r="P51" s="28"/>
      <c r="Q51" s="28"/>
      <c r="R51" s="28"/>
      <c r="S51" s="28"/>
    </row>
    <row r="52" customFormat="false" ht="39.75" hidden="false" customHeight="true" outlineLevel="0" collapsed="false">
      <c r="B52" s="16" t="s">
        <v>81</v>
      </c>
      <c r="C52" s="16"/>
      <c r="D52" s="16"/>
      <c r="E52" s="16"/>
      <c r="F52" s="16"/>
      <c r="G52" s="16"/>
      <c r="H52" s="16"/>
      <c r="J52" s="29"/>
      <c r="K52" s="29"/>
      <c r="L52" s="29"/>
      <c r="M52" s="29"/>
      <c r="N52" s="29"/>
      <c r="O52" s="29"/>
      <c r="P52" s="29"/>
      <c r="Q52" s="29"/>
      <c r="R52" s="29"/>
      <c r="S52" s="29"/>
    </row>
    <row r="54" customFormat="false" ht="15" hidden="false" customHeight="false" outlineLevel="0" collapsed="false">
      <c r="B54" s="30" t="s">
        <v>82</v>
      </c>
      <c r="C54" s="30"/>
      <c r="D54" s="30"/>
      <c r="E54" s="30"/>
      <c r="F54" s="30"/>
      <c r="G54" s="30"/>
      <c r="H54" s="30"/>
      <c r="I54" s="30"/>
      <c r="J54" s="30"/>
      <c r="K54" s="30"/>
      <c r="L54" s="30"/>
      <c r="M54" s="30"/>
      <c r="N54" s="30"/>
      <c r="O54" s="30"/>
      <c r="P54" s="30"/>
      <c r="Q54" s="30"/>
      <c r="R54" s="30"/>
      <c r="S54" s="30"/>
    </row>
  </sheetData>
  <mergeCells count="70">
    <mergeCell ref="B2:S2"/>
    <mergeCell ref="B4:C4"/>
    <mergeCell ref="D4:H4"/>
    <mergeCell ref="J4:M4"/>
    <mergeCell ref="N4:O4"/>
    <mergeCell ref="B5:C5"/>
    <mergeCell ref="D5:H5"/>
    <mergeCell ref="J5:M5"/>
    <mergeCell ref="N5:O5"/>
    <mergeCell ref="B6:C6"/>
    <mergeCell ref="D6:H6"/>
    <mergeCell ref="J6:M6"/>
    <mergeCell ref="N6:O6"/>
    <mergeCell ref="B7:C7"/>
    <mergeCell ref="D7:H7"/>
    <mergeCell ref="J7:M7"/>
    <mergeCell ref="N7:R7"/>
    <mergeCell ref="J8:M8"/>
    <mergeCell ref="C11:E11"/>
    <mergeCell ref="F11:H11"/>
    <mergeCell ref="I11:K11"/>
    <mergeCell ref="M11:S11"/>
    <mergeCell ref="C23:E23"/>
    <mergeCell ref="F23:H23"/>
    <mergeCell ref="I23:K23"/>
    <mergeCell ref="B24:D24"/>
    <mergeCell ref="F24:K24"/>
    <mergeCell ref="B27:C27"/>
    <mergeCell ref="K27:M27"/>
    <mergeCell ref="B28:C28"/>
    <mergeCell ref="K28:M28"/>
    <mergeCell ref="B29:C29"/>
    <mergeCell ref="K29:M29"/>
    <mergeCell ref="B30:C30"/>
    <mergeCell ref="K30:M30"/>
    <mergeCell ref="B31:C31"/>
    <mergeCell ref="K31:M31"/>
    <mergeCell ref="B32:C32"/>
    <mergeCell ref="K32:M32"/>
    <mergeCell ref="K33:M33"/>
    <mergeCell ref="B34:C34"/>
    <mergeCell ref="D34:H34"/>
    <mergeCell ref="K34:M34"/>
    <mergeCell ref="K35:M35"/>
    <mergeCell ref="B36:C36"/>
    <mergeCell ref="K36:M36"/>
    <mergeCell ref="B37:C37"/>
    <mergeCell ref="K37:M37"/>
    <mergeCell ref="B38:C38"/>
    <mergeCell ref="K38:M38"/>
    <mergeCell ref="B39:C39"/>
    <mergeCell ref="K39:M39"/>
    <mergeCell ref="B40:C40"/>
    <mergeCell ref="K40:S41"/>
    <mergeCell ref="B41:C41"/>
    <mergeCell ref="B42:C42"/>
    <mergeCell ref="B44:F44"/>
    <mergeCell ref="B47:H47"/>
    <mergeCell ref="J47:S47"/>
    <mergeCell ref="B48:H48"/>
    <mergeCell ref="J48:S48"/>
    <mergeCell ref="B49:H49"/>
    <mergeCell ref="J49:S49"/>
    <mergeCell ref="B50:H50"/>
    <mergeCell ref="J50:S50"/>
    <mergeCell ref="B51:H51"/>
    <mergeCell ref="J51:S51"/>
    <mergeCell ref="B52:H52"/>
    <mergeCell ref="J52:S52"/>
    <mergeCell ref="B54:S54"/>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&amp;LQlause · qlause.app&amp;R&amp;A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472F"/>
    <pageSetUpPr fitToPage="true"/>
  </sheetPr>
  <dimension ref="B1:S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9"/>
    <col collapsed="false" customWidth="true" hidden="false" outlineLevel="0" max="11" min="3" style="0" width="8.2"/>
    <col collapsed="false" customWidth="true" hidden="false" outlineLevel="0" max="12" min="12" style="0" width="2.5"/>
    <col collapsed="false" customWidth="true" hidden="false" outlineLevel="0" max="19" min="13" style="0" width="9.2"/>
    <col collapsed="false" customWidth="true" hidden="false" outlineLevel="0" max="20" min="20" style="0" width="2.5"/>
  </cols>
  <sheetData>
    <row r="1" customFormat="false" ht="19.7" hidden="false" customHeight="false" outlineLevel="0" collapsed="false">
      <c r="B1" s="1" t="s">
        <v>83</v>
      </c>
    </row>
    <row r="2" customFormat="false" ht="30" hidden="false" customHeight="true" outlineLevel="0" collapsed="false">
      <c r="B2" s="2" t="s">
        <v>84</v>
      </c>
      <c r="C2" s="2"/>
      <c r="D2" s="2"/>
      <c r="E2" s="2"/>
      <c r="F2" s="2"/>
      <c r="G2" s="2"/>
      <c r="H2" s="2"/>
      <c r="I2" s="2"/>
      <c r="J2" s="2"/>
      <c r="K2" s="2"/>
      <c r="L2" s="2"/>
      <c r="M2" s="2"/>
      <c r="N2" s="2"/>
      <c r="O2" s="2"/>
      <c r="P2" s="2"/>
      <c r="Q2" s="2"/>
      <c r="R2" s="2"/>
      <c r="S2" s="2"/>
    </row>
    <row r="4" customFormat="false" ht="15" hidden="false" customHeight="true" outlineLevel="0" collapsed="false">
      <c r="B4" s="3" t="s">
        <v>2</v>
      </c>
      <c r="C4" s="3"/>
      <c r="D4" s="31" t="s">
        <v>85</v>
      </c>
      <c r="E4" s="31"/>
      <c r="F4" s="31"/>
      <c r="G4" s="31"/>
      <c r="H4" s="31"/>
      <c r="J4" s="3" t="s">
        <v>3</v>
      </c>
      <c r="K4" s="3"/>
      <c r="L4" s="3"/>
      <c r="M4" s="3"/>
      <c r="N4" s="32" t="n">
        <v>24.2</v>
      </c>
      <c r="O4" s="32"/>
    </row>
    <row r="5" customFormat="false" ht="15" hidden="false" customHeight="true" outlineLevel="0" collapsed="false">
      <c r="B5" s="3" t="s">
        <v>4</v>
      </c>
      <c r="C5" s="3"/>
      <c r="D5" s="31" t="s">
        <v>86</v>
      </c>
      <c r="E5" s="31"/>
      <c r="F5" s="31"/>
      <c r="G5" s="31"/>
      <c r="H5" s="31"/>
      <c r="J5" s="3" t="s">
        <v>5</v>
      </c>
      <c r="K5" s="3"/>
      <c r="L5" s="3"/>
      <c r="M5" s="3"/>
      <c r="N5" s="32" t="n">
        <v>24.8</v>
      </c>
      <c r="O5" s="32"/>
    </row>
    <row r="6" customFormat="false" ht="15" hidden="false" customHeight="true" outlineLevel="0" collapsed="false">
      <c r="B6" s="3" t="s">
        <v>6</v>
      </c>
      <c r="C6" s="3"/>
      <c r="D6" s="31" t="s">
        <v>87</v>
      </c>
      <c r="E6" s="31"/>
      <c r="F6" s="31"/>
      <c r="G6" s="31"/>
      <c r="H6" s="31"/>
      <c r="J6" s="3" t="s">
        <v>7</v>
      </c>
      <c r="K6" s="3"/>
      <c r="L6" s="3"/>
      <c r="M6" s="3"/>
      <c r="N6" s="5"/>
      <c r="O6" s="5"/>
      <c r="Q6" s="6" t="s">
        <v>8</v>
      </c>
    </row>
    <row r="7" customFormat="false" ht="15" hidden="false" customHeight="true" outlineLevel="0" collapsed="false">
      <c r="B7" s="3" t="s">
        <v>9</v>
      </c>
      <c r="C7" s="3"/>
      <c r="D7" s="31" t="s">
        <v>88</v>
      </c>
      <c r="E7" s="31"/>
      <c r="F7" s="31"/>
      <c r="G7" s="31"/>
      <c r="H7" s="31"/>
      <c r="J7" s="3" t="s">
        <v>10</v>
      </c>
      <c r="K7" s="3"/>
      <c r="L7" s="3"/>
      <c r="M7" s="3"/>
      <c r="N7" s="31" t="s">
        <v>89</v>
      </c>
      <c r="O7" s="31"/>
      <c r="P7" s="31"/>
      <c r="Q7" s="31"/>
      <c r="R7" s="31"/>
    </row>
    <row r="8" customFormat="false" ht="15" hidden="false" customHeight="true" outlineLevel="0" collapsed="false">
      <c r="J8" s="3" t="s">
        <v>11</v>
      </c>
      <c r="K8" s="3"/>
      <c r="L8" s="3"/>
      <c r="M8" s="3"/>
      <c r="N8" s="7" t="n">
        <f aca="false">IF(AND(ISNUMBER(N4),ISNUMBER(N5)),N5-N4,"")</f>
        <v>0.600000000000001</v>
      </c>
    </row>
    <row r="10" customFormat="false" ht="15" hidden="false" customHeight="false" outlineLevel="0" collapsed="false">
      <c r="B10" s="8" t="s">
        <v>12</v>
      </c>
    </row>
    <row r="11" customFormat="false" ht="15" hidden="false" customHeight="true" outlineLevel="0" collapsed="false">
      <c r="B11" s="9" t="s">
        <v>13</v>
      </c>
      <c r="C11" s="9" t="s">
        <v>14</v>
      </c>
      <c r="D11" s="9"/>
      <c r="E11" s="9"/>
      <c r="F11" s="9" t="s">
        <v>15</v>
      </c>
      <c r="G11" s="9"/>
      <c r="H11" s="9"/>
      <c r="I11" s="9" t="s">
        <v>16</v>
      </c>
      <c r="J11" s="9"/>
      <c r="K11" s="9"/>
      <c r="M11" s="9" t="s">
        <v>17</v>
      </c>
      <c r="N11" s="9"/>
      <c r="O11" s="9"/>
      <c r="P11" s="9"/>
      <c r="Q11" s="9"/>
      <c r="R11" s="9"/>
      <c r="S11" s="9"/>
    </row>
    <row r="12" customFormat="false" ht="21.75" hidden="false" customHeight="true" outlineLevel="0" collapsed="false">
      <c r="B12" s="9" t="s">
        <v>18</v>
      </c>
      <c r="C12" s="9" t="s">
        <v>19</v>
      </c>
      <c r="D12" s="9" t="s">
        <v>20</v>
      </c>
      <c r="E12" s="9" t="s">
        <v>21</v>
      </c>
      <c r="F12" s="9" t="s">
        <v>19</v>
      </c>
      <c r="G12" s="9" t="s">
        <v>20</v>
      </c>
      <c r="H12" s="9" t="s">
        <v>21</v>
      </c>
      <c r="I12" s="9" t="s">
        <v>19</v>
      </c>
      <c r="J12" s="9" t="s">
        <v>20</v>
      </c>
      <c r="K12" s="9" t="s">
        <v>21</v>
      </c>
      <c r="M12" s="9" t="s">
        <v>22</v>
      </c>
      <c r="N12" s="9" t="s">
        <v>23</v>
      </c>
      <c r="O12" s="9" t="s">
        <v>24</v>
      </c>
      <c r="P12" s="9" t="s">
        <v>25</v>
      </c>
      <c r="Q12" s="9" t="s">
        <v>26</v>
      </c>
      <c r="R12" s="9" t="s">
        <v>27</v>
      </c>
      <c r="S12" s="9" t="s">
        <v>28</v>
      </c>
    </row>
    <row r="13" customFormat="false" ht="15" hidden="false" customHeight="false" outlineLevel="0" collapsed="false">
      <c r="B13" s="10" t="n">
        <v>1</v>
      </c>
      <c r="C13" s="32" t="n">
        <v>24.38</v>
      </c>
      <c r="D13" s="32" t="n">
        <v>24.39</v>
      </c>
      <c r="E13" s="32" t="n">
        <v>24.42</v>
      </c>
      <c r="F13" s="32" t="n">
        <v>24.41</v>
      </c>
      <c r="G13" s="32" t="n">
        <v>24.38</v>
      </c>
      <c r="H13" s="32" t="n">
        <v>24.4</v>
      </c>
      <c r="I13" s="32" t="n">
        <v>24.37</v>
      </c>
      <c r="J13" s="32" t="n">
        <v>24.39</v>
      </c>
      <c r="K13" s="32" t="n">
        <v>24.36</v>
      </c>
      <c r="M13" s="11" t="n">
        <f aca="false">IF(COUNT(C13:K13)=9,AVERAGE(C13:K13),"")</f>
        <v>24.3888888888889</v>
      </c>
      <c r="N13" s="11" t="n">
        <f aca="false">IF(COUNT(C13:E13)=3,AVERAGE(C13:E13),"")</f>
        <v>24.3966666666667</v>
      </c>
      <c r="O13" s="11" t="n">
        <f aca="false">IF(COUNT(F13:H13)=3,AVERAGE(F13:H13),"")</f>
        <v>24.3966666666667</v>
      </c>
      <c r="P13" s="11" t="n">
        <f aca="false">IF(COUNT(I13:K13)=3,AVERAGE(I13:K13),"")</f>
        <v>24.3733333333333</v>
      </c>
      <c r="Q13" s="11" t="n">
        <f aca="false">IF(COUNT(C13:E13)=3,MAX(C13:E13)-MIN(C13:E13),"")</f>
        <v>0.0400000000000027</v>
      </c>
      <c r="R13" s="11" t="n">
        <f aca="false">IF(COUNT(F13:H13)=3,MAX(F13:H13)-MIN(F13:H13),"")</f>
        <v>0.0300000000000011</v>
      </c>
      <c r="S13" s="11" t="n">
        <f aca="false">IF(COUNT(I13:K13)=3,MAX(I13:K13)-MIN(I13:K13),"")</f>
        <v>0.0300000000000011</v>
      </c>
    </row>
    <row r="14" customFormat="false" ht="15" hidden="false" customHeight="false" outlineLevel="0" collapsed="false">
      <c r="B14" s="10" t="n">
        <v>2</v>
      </c>
      <c r="C14" s="32" t="n">
        <v>24.56</v>
      </c>
      <c r="D14" s="32" t="n">
        <v>24.56</v>
      </c>
      <c r="E14" s="32" t="n">
        <v>24.59</v>
      </c>
      <c r="F14" s="32" t="n">
        <v>24.58</v>
      </c>
      <c r="G14" s="32" t="n">
        <v>24.58</v>
      </c>
      <c r="H14" s="32" t="n">
        <v>24.55</v>
      </c>
      <c r="I14" s="32" t="n">
        <v>24.59</v>
      </c>
      <c r="J14" s="32" t="n">
        <v>24.52</v>
      </c>
      <c r="K14" s="32" t="n">
        <v>24.57</v>
      </c>
      <c r="M14" s="11" t="n">
        <f aca="false">IF(COUNT(C14:K14)=9,AVERAGE(C14:K14),"")</f>
        <v>24.5666666666667</v>
      </c>
      <c r="N14" s="11" t="n">
        <f aca="false">IF(COUNT(C14:E14)=3,AVERAGE(C14:E14),"")</f>
        <v>24.57</v>
      </c>
      <c r="O14" s="11" t="n">
        <f aca="false">IF(COUNT(F14:H14)=3,AVERAGE(F14:H14),"")</f>
        <v>24.57</v>
      </c>
      <c r="P14" s="11" t="n">
        <f aca="false">IF(COUNT(I14:K14)=3,AVERAGE(I14:K14),"")</f>
        <v>24.56</v>
      </c>
      <c r="Q14" s="11" t="n">
        <f aca="false">IF(COUNT(C14:E14)=3,MAX(C14:E14)-MIN(C14:E14),"")</f>
        <v>0.0300000000000011</v>
      </c>
      <c r="R14" s="11" t="n">
        <f aca="false">IF(COUNT(F14:H14)=3,MAX(F14:H14)-MIN(F14:H14),"")</f>
        <v>0.0299999999999976</v>
      </c>
      <c r="S14" s="11" t="n">
        <f aca="false">IF(COUNT(I14:K14)=3,MAX(I14:K14)-MIN(I14:K14),"")</f>
        <v>0.0700000000000003</v>
      </c>
    </row>
    <row r="15" customFormat="false" ht="15" hidden="false" customHeight="false" outlineLevel="0" collapsed="false">
      <c r="B15" s="10" t="n">
        <v>3</v>
      </c>
      <c r="C15" s="32" t="n">
        <v>24.47</v>
      </c>
      <c r="D15" s="32" t="n">
        <v>24.47</v>
      </c>
      <c r="E15" s="32" t="n">
        <v>24.47</v>
      </c>
      <c r="F15" s="32" t="n">
        <v>24.48</v>
      </c>
      <c r="G15" s="32" t="n">
        <v>24.5</v>
      </c>
      <c r="H15" s="32" t="n">
        <v>24.49</v>
      </c>
      <c r="I15" s="32" t="n">
        <v>24.5</v>
      </c>
      <c r="J15" s="32" t="n">
        <v>24.44</v>
      </c>
      <c r="K15" s="32" t="n">
        <v>24.47</v>
      </c>
      <c r="M15" s="11" t="n">
        <f aca="false">IF(COUNT(C15:K15)=9,AVERAGE(C15:K15),"")</f>
        <v>24.4766666666667</v>
      </c>
      <c r="N15" s="11" t="n">
        <f aca="false">IF(COUNT(C15:E15)=3,AVERAGE(C15:E15),"")</f>
        <v>24.47</v>
      </c>
      <c r="O15" s="11" t="n">
        <f aca="false">IF(COUNT(F15:H15)=3,AVERAGE(F15:H15),"")</f>
        <v>24.49</v>
      </c>
      <c r="P15" s="11" t="n">
        <f aca="false">IF(COUNT(I15:K15)=3,AVERAGE(I15:K15),"")</f>
        <v>24.47</v>
      </c>
      <c r="Q15" s="11" t="n">
        <f aca="false">IF(COUNT(C15:E15)=3,MAX(C15:E15)-MIN(C15:E15),"")</f>
        <v>0</v>
      </c>
      <c r="R15" s="11" t="n">
        <f aca="false">IF(COUNT(F15:H15)=3,MAX(F15:H15)-MIN(F15:H15),"")</f>
        <v>0.0199999999999996</v>
      </c>
      <c r="S15" s="11" t="n">
        <f aca="false">IF(COUNT(I15:K15)=3,MAX(I15:K15)-MIN(I15:K15),"")</f>
        <v>0.0599999999999987</v>
      </c>
    </row>
    <row r="16" customFormat="false" ht="15" hidden="false" customHeight="false" outlineLevel="0" collapsed="false">
      <c r="B16" s="10" t="n">
        <v>4</v>
      </c>
      <c r="C16" s="32" t="n">
        <v>24.62</v>
      </c>
      <c r="D16" s="32" t="n">
        <v>24.64</v>
      </c>
      <c r="E16" s="32" t="n">
        <v>24.6</v>
      </c>
      <c r="F16" s="32" t="n">
        <v>24.64</v>
      </c>
      <c r="G16" s="32" t="n">
        <v>24.65</v>
      </c>
      <c r="H16" s="32" t="n">
        <v>24.62</v>
      </c>
      <c r="I16" s="32" t="n">
        <v>24.64</v>
      </c>
      <c r="J16" s="32" t="n">
        <v>24.63</v>
      </c>
      <c r="K16" s="32" t="n">
        <v>24.64</v>
      </c>
      <c r="M16" s="11" t="n">
        <f aca="false">IF(COUNT(C16:K16)=9,AVERAGE(C16:K16),"")</f>
        <v>24.6311111111111</v>
      </c>
      <c r="N16" s="11" t="n">
        <f aca="false">IF(COUNT(C16:E16)=3,AVERAGE(C16:E16),"")</f>
        <v>24.62</v>
      </c>
      <c r="O16" s="11" t="n">
        <f aca="false">IF(COUNT(F16:H16)=3,AVERAGE(F16:H16),"")</f>
        <v>24.6366666666667</v>
      </c>
      <c r="P16" s="11" t="n">
        <f aca="false">IF(COUNT(I16:K16)=3,AVERAGE(I16:K16),"")</f>
        <v>24.6366666666667</v>
      </c>
      <c r="Q16" s="11" t="n">
        <f aca="false">IF(COUNT(C16:E16)=3,MAX(C16:E16)-MIN(C16:E16),"")</f>
        <v>0.0399999999999992</v>
      </c>
      <c r="R16" s="11" t="n">
        <f aca="false">IF(COUNT(F16:H16)=3,MAX(F16:H16)-MIN(F16:H16),"")</f>
        <v>0.0299999999999976</v>
      </c>
      <c r="S16" s="11" t="n">
        <f aca="false">IF(COUNT(I16:K16)=3,MAX(I16:K16)-MIN(I16:K16),"")</f>
        <v>0.0100000000000016</v>
      </c>
    </row>
    <row r="17" customFormat="false" ht="15" hidden="false" customHeight="false" outlineLevel="0" collapsed="false">
      <c r="B17" s="10" t="n">
        <v>5</v>
      </c>
      <c r="C17" s="32" t="n">
        <v>24.46</v>
      </c>
      <c r="D17" s="32" t="n">
        <v>24.42</v>
      </c>
      <c r="E17" s="32" t="n">
        <v>24.43</v>
      </c>
      <c r="F17" s="32" t="n">
        <v>24.45</v>
      </c>
      <c r="G17" s="32" t="n">
        <v>24.47</v>
      </c>
      <c r="H17" s="32" t="n">
        <v>24.47</v>
      </c>
      <c r="I17" s="32" t="n">
        <v>24.42</v>
      </c>
      <c r="J17" s="32" t="n">
        <v>24.42</v>
      </c>
      <c r="K17" s="32" t="n">
        <v>24.42</v>
      </c>
      <c r="M17" s="11" t="n">
        <f aca="false">IF(COUNT(C17:K17)=9,AVERAGE(C17:K17),"")</f>
        <v>24.44</v>
      </c>
      <c r="N17" s="11" t="n">
        <f aca="false">IF(COUNT(C17:E17)=3,AVERAGE(C17:E17),"")</f>
        <v>24.4366666666667</v>
      </c>
      <c r="O17" s="11" t="n">
        <f aca="false">IF(COUNT(F17:H17)=3,AVERAGE(F17:H17),"")</f>
        <v>24.4633333333333</v>
      </c>
      <c r="P17" s="11" t="n">
        <f aca="false">IF(COUNT(I17:K17)=3,AVERAGE(I17:K17),"")</f>
        <v>24.42</v>
      </c>
      <c r="Q17" s="11" t="n">
        <f aca="false">IF(COUNT(C17:E17)=3,MAX(C17:E17)-MIN(C17:E17),"")</f>
        <v>0.0399999999999992</v>
      </c>
      <c r="R17" s="11" t="n">
        <f aca="false">IF(COUNT(F17:H17)=3,MAX(F17:H17)-MIN(F17:H17),"")</f>
        <v>0.0199999999999996</v>
      </c>
      <c r="S17" s="11" t="n">
        <f aca="false">IF(COUNT(I17:K17)=3,MAX(I17:K17)-MIN(I17:K17),"")</f>
        <v>0</v>
      </c>
    </row>
    <row r="18" customFormat="false" ht="15" hidden="false" customHeight="false" outlineLevel="0" collapsed="false">
      <c r="B18" s="10" t="n">
        <v>6</v>
      </c>
      <c r="C18" s="32" t="n">
        <v>24.51</v>
      </c>
      <c r="D18" s="32" t="n">
        <v>24.52</v>
      </c>
      <c r="E18" s="32" t="n">
        <v>24.52</v>
      </c>
      <c r="F18" s="32" t="n">
        <v>24.57</v>
      </c>
      <c r="G18" s="32" t="n">
        <v>24.53</v>
      </c>
      <c r="H18" s="32" t="n">
        <v>24.53</v>
      </c>
      <c r="I18" s="32" t="n">
        <v>24.52</v>
      </c>
      <c r="J18" s="32" t="n">
        <v>24.5</v>
      </c>
      <c r="K18" s="32" t="n">
        <v>24.51</v>
      </c>
      <c r="M18" s="11" t="n">
        <f aca="false">IF(COUNT(C18:K18)=9,AVERAGE(C18:K18),"")</f>
        <v>24.5233333333333</v>
      </c>
      <c r="N18" s="11" t="n">
        <f aca="false">IF(COUNT(C18:E18)=3,AVERAGE(C18:E18),"")</f>
        <v>24.5166666666667</v>
      </c>
      <c r="O18" s="11" t="n">
        <f aca="false">IF(COUNT(F18:H18)=3,AVERAGE(F18:H18),"")</f>
        <v>24.5433333333333</v>
      </c>
      <c r="P18" s="11" t="n">
        <f aca="false">IF(COUNT(I18:K18)=3,AVERAGE(I18:K18),"")</f>
        <v>24.51</v>
      </c>
      <c r="Q18" s="11" t="n">
        <f aca="false">IF(COUNT(C18:E18)=3,MAX(C18:E18)-MIN(C18:E18),"")</f>
        <v>0.00999999999999801</v>
      </c>
      <c r="R18" s="11" t="n">
        <f aca="false">IF(COUNT(F18:H18)=3,MAX(F18:H18)-MIN(F18:H18),"")</f>
        <v>0.0399999999999992</v>
      </c>
      <c r="S18" s="11" t="n">
        <f aca="false">IF(COUNT(I18:K18)=3,MAX(I18:K18)-MIN(I18:K18),"")</f>
        <v>0.0199999999999996</v>
      </c>
    </row>
    <row r="19" customFormat="false" ht="15" hidden="false" customHeight="false" outlineLevel="0" collapsed="false">
      <c r="B19" s="10" t="n">
        <v>7</v>
      </c>
      <c r="C19" s="32" t="n">
        <v>24.59</v>
      </c>
      <c r="D19" s="32" t="n">
        <v>24.6</v>
      </c>
      <c r="E19" s="32" t="n">
        <v>24.57</v>
      </c>
      <c r="F19" s="32" t="n">
        <v>24.63</v>
      </c>
      <c r="G19" s="32" t="n">
        <v>24.6</v>
      </c>
      <c r="H19" s="32" t="n">
        <v>24.61</v>
      </c>
      <c r="I19" s="32" t="n">
        <v>24.6</v>
      </c>
      <c r="J19" s="32" t="n">
        <v>24.59</v>
      </c>
      <c r="K19" s="32" t="n">
        <v>24.6</v>
      </c>
      <c r="M19" s="11" t="n">
        <f aca="false">IF(COUNT(C19:K19)=9,AVERAGE(C19:K19),"")</f>
        <v>24.5988888888889</v>
      </c>
      <c r="N19" s="11" t="n">
        <f aca="false">IF(COUNT(C19:E19)=3,AVERAGE(C19:E19),"")</f>
        <v>24.5866666666667</v>
      </c>
      <c r="O19" s="11" t="n">
        <f aca="false">IF(COUNT(F19:H19)=3,AVERAGE(F19:H19),"")</f>
        <v>24.6133333333333</v>
      </c>
      <c r="P19" s="11" t="n">
        <f aca="false">IF(COUNT(I19:K19)=3,AVERAGE(I19:K19),"")</f>
        <v>24.5966666666667</v>
      </c>
      <c r="Q19" s="11" t="n">
        <f aca="false">IF(COUNT(C19:E19)=3,MAX(C19:E19)-MIN(C19:E19),"")</f>
        <v>0.0300000000000011</v>
      </c>
      <c r="R19" s="11" t="n">
        <f aca="false">IF(COUNT(F19:H19)=3,MAX(F19:H19)-MIN(F19:H19),"")</f>
        <v>0.0299999999999976</v>
      </c>
      <c r="S19" s="11" t="n">
        <f aca="false">IF(COUNT(I19:K19)=3,MAX(I19:K19)-MIN(I19:K19),"")</f>
        <v>0.0100000000000016</v>
      </c>
    </row>
    <row r="20" customFormat="false" ht="15" hidden="false" customHeight="false" outlineLevel="0" collapsed="false">
      <c r="B20" s="10" t="n">
        <v>8</v>
      </c>
      <c r="C20" s="32" t="n">
        <v>24.37</v>
      </c>
      <c r="D20" s="32" t="n">
        <v>24.37</v>
      </c>
      <c r="E20" s="32" t="n">
        <v>24.38</v>
      </c>
      <c r="F20" s="32" t="n">
        <v>24.37</v>
      </c>
      <c r="G20" s="32" t="n">
        <v>24.4</v>
      </c>
      <c r="H20" s="32" t="n">
        <v>24.37</v>
      </c>
      <c r="I20" s="32" t="n">
        <v>24.34</v>
      </c>
      <c r="J20" s="32" t="n">
        <v>24.4</v>
      </c>
      <c r="K20" s="32" t="n">
        <v>24.36</v>
      </c>
      <c r="M20" s="11" t="n">
        <f aca="false">IF(COUNT(C20:K20)=9,AVERAGE(C20:K20),"")</f>
        <v>24.3733333333333</v>
      </c>
      <c r="N20" s="11" t="n">
        <f aca="false">IF(COUNT(C20:E20)=3,AVERAGE(C20:E20),"")</f>
        <v>24.3733333333333</v>
      </c>
      <c r="O20" s="11" t="n">
        <f aca="false">IF(COUNT(F20:H20)=3,AVERAGE(F20:H20),"")</f>
        <v>24.38</v>
      </c>
      <c r="P20" s="11" t="n">
        <f aca="false">IF(COUNT(I20:K20)=3,AVERAGE(I20:K20),"")</f>
        <v>24.3666666666667</v>
      </c>
      <c r="Q20" s="11" t="n">
        <f aca="false">IF(COUNT(C20:E20)=3,MAX(C20:E20)-MIN(C20:E20),"")</f>
        <v>0.00999999999999801</v>
      </c>
      <c r="R20" s="11" t="n">
        <f aca="false">IF(COUNT(F20:H20)=3,MAX(F20:H20)-MIN(F20:H20),"")</f>
        <v>0.0299999999999976</v>
      </c>
      <c r="S20" s="11" t="n">
        <f aca="false">IF(COUNT(I20:K20)=3,MAX(I20:K20)-MIN(I20:K20),"")</f>
        <v>0.0599999999999987</v>
      </c>
    </row>
    <row r="21" customFormat="false" ht="15" hidden="false" customHeight="false" outlineLevel="0" collapsed="false">
      <c r="B21" s="10" t="n">
        <v>9</v>
      </c>
      <c r="C21" s="32" t="n">
        <v>24.52</v>
      </c>
      <c r="D21" s="32" t="n">
        <v>24.57</v>
      </c>
      <c r="E21" s="32" t="n">
        <v>24.53</v>
      </c>
      <c r="F21" s="32" t="n">
        <v>24.57</v>
      </c>
      <c r="G21" s="32" t="n">
        <v>24.54</v>
      </c>
      <c r="H21" s="32" t="n">
        <v>24.55</v>
      </c>
      <c r="I21" s="32" t="n">
        <v>24.51</v>
      </c>
      <c r="J21" s="32" t="n">
        <v>24.5</v>
      </c>
      <c r="K21" s="32" t="n">
        <v>24.52</v>
      </c>
      <c r="M21" s="11" t="n">
        <f aca="false">IF(COUNT(C21:K21)=9,AVERAGE(C21:K21),"")</f>
        <v>24.5344444444444</v>
      </c>
      <c r="N21" s="11" t="n">
        <f aca="false">IF(COUNT(C21:E21)=3,AVERAGE(C21:E21),"")</f>
        <v>24.54</v>
      </c>
      <c r="O21" s="11" t="n">
        <f aca="false">IF(COUNT(F21:H21)=3,AVERAGE(F21:H21),"")</f>
        <v>24.5533333333333</v>
      </c>
      <c r="P21" s="11" t="n">
        <f aca="false">IF(COUNT(I21:K21)=3,AVERAGE(I21:K21),"")</f>
        <v>24.51</v>
      </c>
      <c r="Q21" s="11" t="n">
        <f aca="false">IF(COUNT(C21:E21)=3,MAX(C21:E21)-MIN(C21:E21),"")</f>
        <v>0.0500000000000007</v>
      </c>
      <c r="R21" s="11" t="n">
        <f aca="false">IF(COUNT(F21:H21)=3,MAX(F21:H21)-MIN(F21:H21),"")</f>
        <v>0.0300000000000011</v>
      </c>
      <c r="S21" s="11" t="n">
        <f aca="false">IF(COUNT(I21:K21)=3,MAX(I21:K21)-MIN(I21:K21),"")</f>
        <v>0.0199999999999996</v>
      </c>
    </row>
    <row r="22" customFormat="false" ht="15" hidden="false" customHeight="false" outlineLevel="0" collapsed="false">
      <c r="B22" s="10" t="n">
        <v>10</v>
      </c>
      <c r="C22" s="32" t="n">
        <v>24.47</v>
      </c>
      <c r="D22" s="32" t="n">
        <v>24.48</v>
      </c>
      <c r="E22" s="32" t="n">
        <v>24.51</v>
      </c>
      <c r="F22" s="32" t="n">
        <v>24.47</v>
      </c>
      <c r="G22" s="32" t="n">
        <v>24.5</v>
      </c>
      <c r="H22" s="32" t="n">
        <v>24.47</v>
      </c>
      <c r="I22" s="32" t="n">
        <v>24.46</v>
      </c>
      <c r="J22" s="32" t="n">
        <v>24.44</v>
      </c>
      <c r="K22" s="32" t="n">
        <v>24.44</v>
      </c>
      <c r="M22" s="11" t="n">
        <f aca="false">IF(COUNT(C22:K22)=9,AVERAGE(C22:K22),"")</f>
        <v>24.4711111111111</v>
      </c>
      <c r="N22" s="11" t="n">
        <f aca="false">IF(COUNT(C22:E22)=3,AVERAGE(C22:E22),"")</f>
        <v>24.4866666666667</v>
      </c>
      <c r="O22" s="11" t="n">
        <f aca="false">IF(COUNT(F22:H22)=3,AVERAGE(F22:H22),"")</f>
        <v>24.48</v>
      </c>
      <c r="P22" s="11" t="n">
        <f aca="false">IF(COUNT(I22:K22)=3,AVERAGE(I22:K22),"")</f>
        <v>24.4466666666667</v>
      </c>
      <c r="Q22" s="11" t="n">
        <f aca="false">IF(COUNT(C22:E22)=3,MAX(C22:E22)-MIN(C22:E22),"")</f>
        <v>0.0400000000000027</v>
      </c>
      <c r="R22" s="11" t="n">
        <f aca="false">IF(COUNT(F22:H22)=3,MAX(F22:H22)-MIN(F22:H22),"")</f>
        <v>0.0300000000000011</v>
      </c>
      <c r="S22" s="11" t="n">
        <f aca="false">IF(COUNT(I22:K22)=3,MAX(I22:K22)-MIN(I22:K22),"")</f>
        <v>0.0199999999999996</v>
      </c>
    </row>
    <row r="23" customFormat="false" ht="20.85" hidden="false" customHeight="false" outlineLevel="0" collapsed="false">
      <c r="B23" s="12" t="s">
        <v>29</v>
      </c>
      <c r="C23" s="13" t="n">
        <f aca="false">IF(COUNT(C13:E22)=30,AVERAGE(C13:E22),"")</f>
        <v>24.4996666666667</v>
      </c>
      <c r="D23" s="13"/>
      <c r="E23" s="13"/>
      <c r="F23" s="13" t="n">
        <f aca="false">IF(COUNT(F13:H22)=30,AVERAGE(F13:H22),"")</f>
        <v>24.5126666666667</v>
      </c>
      <c r="G23" s="13"/>
      <c r="H23" s="13"/>
      <c r="I23" s="13" t="n">
        <f aca="false">IF(COUNT(I13:K22)=30,AVERAGE(I13:K22),"")</f>
        <v>24.489</v>
      </c>
      <c r="J23" s="13"/>
      <c r="K23" s="13"/>
      <c r="M23" s="12" t="s">
        <v>30</v>
      </c>
      <c r="Q23" s="11" t="n">
        <f aca="false">IF(COUNT(Q13:Q22)=10,AVERAGE(Q13:Q22),"")</f>
        <v>0.0290000000000003</v>
      </c>
      <c r="R23" s="11" t="n">
        <f aca="false">IF(COUNT(R13:R22)=10,AVERAGE(R13:R22),"")</f>
        <v>0.0289999999999992</v>
      </c>
      <c r="S23" s="11" t="n">
        <f aca="false">IF(COUNT(S13:S22)=10,AVERAGE(S13:S22),"")</f>
        <v>0.0300000000000001</v>
      </c>
    </row>
    <row r="24" customFormat="false" ht="15" hidden="false" customHeight="true" outlineLevel="0" collapsed="false">
      <c r="B24" s="3" t="s">
        <v>31</v>
      </c>
      <c r="C24" s="3"/>
      <c r="D24" s="3"/>
      <c r="E24" s="14" t="n">
        <f aca="false">COUNT(C13:K22)</f>
        <v>90</v>
      </c>
      <c r="F24" s="15" t="str">
        <f aca="false">IF($E$24=90,"Complete — results below are live","Enter all 90 readings to see results")</f>
        <v>Complete — results below are live</v>
      </c>
      <c r="G24" s="15"/>
      <c r="H24" s="15"/>
      <c r="I24" s="15"/>
      <c r="J24" s="15"/>
      <c r="K24" s="15"/>
    </row>
    <row r="26" customFormat="false" ht="15" hidden="false" customHeight="false" outlineLevel="0" collapsed="false">
      <c r="B26" s="8" t="s">
        <v>32</v>
      </c>
      <c r="K26" s="8" t="s">
        <v>33</v>
      </c>
    </row>
    <row r="27" customFormat="false" ht="15" hidden="false" customHeight="true" outlineLevel="0" collapsed="false">
      <c r="B27" s="9" t="s">
        <v>34</v>
      </c>
      <c r="C27" s="9"/>
      <c r="D27" s="9" t="s">
        <v>35</v>
      </c>
      <c r="E27" s="9" t="s">
        <v>36</v>
      </c>
      <c r="F27" s="9" t="s">
        <v>37</v>
      </c>
      <c r="G27" s="9" t="s">
        <v>38</v>
      </c>
      <c r="H27" s="9" t="s">
        <v>39</v>
      </c>
      <c r="K27" s="9" t="s">
        <v>40</v>
      </c>
      <c r="L27" s="9"/>
      <c r="M27" s="9"/>
      <c r="N27" s="9" t="s">
        <v>41</v>
      </c>
      <c r="O27" s="9" t="s">
        <v>42</v>
      </c>
      <c r="P27" s="9" t="s">
        <v>43</v>
      </c>
    </row>
    <row r="28" customFormat="false" ht="15" hidden="false" customHeight="true" outlineLevel="0" collapsed="false">
      <c r="B28" s="16" t="s">
        <v>44</v>
      </c>
      <c r="C28" s="16"/>
      <c r="D28" s="14" t="n">
        <v>9</v>
      </c>
      <c r="E28" s="17" t="n">
        <f aca="false">IF($E$24=90,9*DEVSQ($M$13:$M$22),"")</f>
        <v>0.598604444444439</v>
      </c>
      <c r="F28" s="18" t="n">
        <f aca="false">IF($E$24=90,E28/D28,"")</f>
        <v>0.066511604938271</v>
      </c>
      <c r="K28" s="19" t="s">
        <v>45</v>
      </c>
      <c r="L28" s="19"/>
      <c r="M28" s="19"/>
      <c r="N28" s="11" t="n">
        <f aca="false">IF($E$24=90,AVERAGE($Q$23:$S$23),"")</f>
        <v>0.0293333333333332</v>
      </c>
    </row>
    <row r="29" customFormat="false" ht="22.35" hidden="false" customHeight="true" outlineLevel="0" collapsed="false">
      <c r="B29" s="16" t="s">
        <v>46</v>
      </c>
      <c r="C29" s="16"/>
      <c r="D29" s="14" t="n">
        <v>2</v>
      </c>
      <c r="E29" s="17" t="n">
        <f aca="false">IF($E$24=90,30*DEVSQ($C$23,$F$23,$I$23),"")</f>
        <v>0.00842888888889175</v>
      </c>
      <c r="F29" s="18" t="n">
        <f aca="false">IF($E$24=90,E29/D29,"")</f>
        <v>0.00421444444444588</v>
      </c>
      <c r="K29" s="19" t="s">
        <v>47</v>
      </c>
      <c r="L29" s="19"/>
      <c r="M29" s="19"/>
      <c r="N29" s="11" t="n">
        <f aca="false">IF($E$24=90,MAX($C$23,$F$23,$I$23)-MIN($C$23,$F$23,$I$23),"")</f>
        <v>0.0236666666666707</v>
      </c>
    </row>
    <row r="30" customFormat="false" ht="15" hidden="false" customHeight="true" outlineLevel="0" collapsed="false">
      <c r="B30" s="16" t="s">
        <v>48</v>
      </c>
      <c r="C30" s="16"/>
      <c r="D30" s="14" t="n">
        <v>18</v>
      </c>
      <c r="E30" s="17" t="n">
        <f aca="false">IF($E$24=90,3*DEVSQ($N$13:$P$22)-E28-E29,"")</f>
        <v>0.00601555555556072</v>
      </c>
      <c r="F30" s="18" t="n">
        <f aca="false">IF($E$24=90,E30/D30,"")</f>
        <v>0.000334197530864485</v>
      </c>
      <c r="G30" s="20" t="n">
        <f aca="false">IF($E$24=90,IF(F31&gt;0,F30/F31,""),"")</f>
        <v>1.07038355081162</v>
      </c>
      <c r="H30" s="20" t="n">
        <f aca="false">IF(ISNUMBER(G30),FDIST(G30,18,60),"")</f>
        <v>0.402367280997646</v>
      </c>
      <c r="K30" s="19" t="s">
        <v>49</v>
      </c>
      <c r="L30" s="19"/>
      <c r="M30" s="19"/>
      <c r="N30" s="11" t="n">
        <f aca="false">IF($E$24=90,MAX($M$13:$M$22)-MIN($M$13:$M$22),"")</f>
        <v>0.257777777777775</v>
      </c>
    </row>
    <row r="31" customFormat="false" ht="15" hidden="false" customHeight="true" outlineLevel="0" collapsed="false">
      <c r="B31" s="16" t="s">
        <v>50</v>
      </c>
      <c r="C31" s="16"/>
      <c r="D31" s="14" t="n">
        <v>60</v>
      </c>
      <c r="E31" s="17" t="n">
        <f aca="false">IF($E$24=90,DEVSQ($C$13:$K$22)-3*DEVSQ($N$13:$P$22),"")</f>
        <v>0.0187333333333315</v>
      </c>
      <c r="F31" s="18" t="n">
        <f aca="false">IF($E$24=90,E31/D31,"")</f>
        <v>0.000312222222222192</v>
      </c>
      <c r="K31" s="19" t="s">
        <v>51</v>
      </c>
      <c r="L31" s="19"/>
      <c r="M31" s="19"/>
      <c r="N31" s="11" t="n">
        <f aca="false">IF($E$24=90,N28*$N$37,"")</f>
        <v>0.0173301333333332</v>
      </c>
      <c r="O31" s="21" t="n">
        <f aca="false">IF(AND(ISNUMBER(N31),ISNUMBER($N$8)),6*N31/$N$8,"")</f>
        <v>0.173301333333332</v>
      </c>
      <c r="P31" s="21" t="n">
        <f aca="false">IF(AND(ISNUMBER(N31),ISNUMBER($N$35)),IF($N$35&gt;0,N31/$N$35,""),"")</f>
        <v>0.206835120851915</v>
      </c>
    </row>
    <row r="32" customFormat="false" ht="22.35" hidden="false" customHeight="true" outlineLevel="0" collapsed="false">
      <c r="B32" s="16" t="s">
        <v>52</v>
      </c>
      <c r="C32" s="16"/>
      <c r="D32" s="14" t="n">
        <v>89</v>
      </c>
      <c r="E32" s="17" t="n">
        <f aca="false">IF($E$24=90,DEVSQ($C$13:$K$22),"")</f>
        <v>0.631782222222223</v>
      </c>
      <c r="K32" s="19" t="s">
        <v>53</v>
      </c>
      <c r="L32" s="19"/>
      <c r="M32" s="19"/>
      <c r="N32" s="11" t="n">
        <f aca="false">IF($E$24=90,SQRT(MAX(0,(N29*$N$38)^2-N31^2/30)),"")</f>
        <v>0.0119688808146847</v>
      </c>
      <c r="O32" s="21" t="n">
        <f aca="false">IF(AND(ISNUMBER(N32),ISNUMBER($N$8)),6*N32/$N$8,"")</f>
        <v>0.119688808146846</v>
      </c>
      <c r="P32" s="21" t="n">
        <f aca="false">IF(AND(ISNUMBER(N32),ISNUMBER($N$35)),IF($N$35&gt;0,N32/$N$35,""),"")</f>
        <v>0.142848578377978</v>
      </c>
    </row>
    <row r="33" customFormat="false" ht="15" hidden="false" customHeight="true" outlineLevel="0" collapsed="false">
      <c r="K33" s="16" t="s">
        <v>54</v>
      </c>
      <c r="L33" s="16"/>
      <c r="M33" s="16"/>
      <c r="N33" s="22" t="n">
        <f aca="false">IF($E$24=90,SQRT(N31^2+N32^2),"")</f>
        <v>0.0210615201091287</v>
      </c>
      <c r="O33" s="23" t="n">
        <f aca="false">IF(AND(ISNUMBER(N33),ISNUMBER($N$8)),6*N33/$N$8,"")</f>
        <v>0.210615201091287</v>
      </c>
      <c r="P33" s="23" t="n">
        <f aca="false">IF(AND(ISNUMBER(N33),ISNUMBER($N$35)),IF($N$35&gt;0,N33/$N$35,""),"")</f>
        <v>0.251369217611138</v>
      </c>
    </row>
    <row r="34" customFormat="false" ht="15" hidden="false" customHeight="true" outlineLevel="0" collapsed="false">
      <c r="B34" s="3" t="s">
        <v>55</v>
      </c>
      <c r="C34" s="3"/>
      <c r="D34" s="24" t="str">
        <f aca="false">IF(ISNUMBER(H30),IF(H30&gt;0.25,"Pooled (p &gt; 0.25)","Kept (p ≤ 0.25)"),"")</f>
        <v>Pooled (p &gt; 0.25)</v>
      </c>
      <c r="E34" s="24"/>
      <c r="F34" s="24"/>
      <c r="G34" s="24"/>
      <c r="H34" s="24"/>
      <c r="K34" s="19" t="s">
        <v>56</v>
      </c>
      <c r="L34" s="19"/>
      <c r="M34" s="19"/>
      <c r="N34" s="11" t="n">
        <f aca="false">IF($E$24=90,N30*$N$39,"")</f>
        <v>0.0810968888888882</v>
      </c>
      <c r="P34" s="21" t="n">
        <f aca="false">IF(AND(ISNUMBER(N34),ISNUMBER($N$35)),IF($N$35&gt;0,N34/$N$35,""),"")</f>
        <v>0.967891273045462</v>
      </c>
    </row>
    <row r="35" customFormat="false" ht="15" hidden="false" customHeight="true" outlineLevel="0" collapsed="false">
      <c r="K35" s="19" t="s">
        <v>57</v>
      </c>
      <c r="L35" s="19"/>
      <c r="M35" s="19"/>
      <c r="N35" s="11" t="n">
        <f aca="false">IF($E$24=90,SQRT(N33^2+N34^2),"")</f>
        <v>0.0837871888582253</v>
      </c>
    </row>
    <row r="36" customFormat="false" ht="20.85" hidden="false" customHeight="true" outlineLevel="0" collapsed="false">
      <c r="B36" s="9" t="s">
        <v>58</v>
      </c>
      <c r="C36" s="9"/>
      <c r="D36" s="9" t="s">
        <v>59</v>
      </c>
      <c r="E36" s="9" t="s">
        <v>60</v>
      </c>
      <c r="F36" s="9" t="s">
        <v>61</v>
      </c>
      <c r="G36" s="9" t="s">
        <v>42</v>
      </c>
      <c r="H36" s="9" t="s">
        <v>43</v>
      </c>
      <c r="I36" s="9" t="s">
        <v>62</v>
      </c>
      <c r="K36" s="19" t="s">
        <v>63</v>
      </c>
      <c r="L36" s="19"/>
      <c r="M36" s="19"/>
      <c r="N36" s="14" t="n">
        <f aca="false">IF(AND(ISNUMBER(N33),ISNUMBER(N34)),IF(N33&gt;0,INT(1.41*N34/N33),""),"")</f>
        <v>5</v>
      </c>
    </row>
    <row r="37" customFormat="false" ht="15" hidden="false" customHeight="true" outlineLevel="0" collapsed="false">
      <c r="B37" s="19" t="s">
        <v>64</v>
      </c>
      <c r="C37" s="19"/>
      <c r="D37" s="25" t="n">
        <f aca="false">IF($E$24=90,IF(ISNUMBER(SEARCH("Pooled",$D$34)),(($E$30+$E$31)/78),$F$31),"")</f>
        <v>0.00031729344729349</v>
      </c>
      <c r="E37" s="11" t="n">
        <f aca="false">IF(ISNUMBER(D37),SQRT(D37),"")</f>
        <v>0.017812732729525</v>
      </c>
      <c r="F37" s="11" t="n">
        <f aca="false">IF(ISNUMBER(E37),6*E37,"")</f>
        <v>0.10687639637715</v>
      </c>
      <c r="G37" s="21" t="n">
        <f aca="false">IF(AND(ISNUMBER(E37),ISNUMBER($N$8)),6*E37/$N$8,"")</f>
        <v>0.178127327295249</v>
      </c>
      <c r="H37" s="21" t="n">
        <f aca="false">IF(AND(ISNUMBER(E37),ISNUMBER($E$42)),IF($E$42&gt;0,E37/$E$42,""),"")</f>
        <v>0.201662052769979</v>
      </c>
      <c r="I37" s="21" t="str">
        <f aca="false">IF(AND(ISNUMBER(E37),ISNUMBER($N$6)),IF($N$6&gt;0,E37/$N$6,""),"")</f>
        <v/>
      </c>
      <c r="K37" s="19" t="s">
        <v>65</v>
      </c>
      <c r="L37" s="19"/>
      <c r="M37" s="19"/>
      <c r="N37" s="11" t="n">
        <v>0.5908</v>
      </c>
    </row>
    <row r="38" customFormat="false" ht="15" hidden="false" customHeight="true" outlineLevel="0" collapsed="false">
      <c r="B38" s="19" t="s">
        <v>66</v>
      </c>
      <c r="C38" s="19"/>
      <c r="D38" s="25" t="n">
        <f aca="false">IF($E$24=90,IF(ISNUMBER(SEARCH("Pooled",$D$34)),MAX(0,($F$29-(($E$30+$E$31)/78))/30),MAX(0,($F$29-$F$30)/30)+MAX(0,($F$30-$F$31)/3)),"")</f>
        <v>0.000129905033238413</v>
      </c>
      <c r="E38" s="11" t="n">
        <f aca="false">IF(ISNUMBER(D38),SQRT(D38),"")</f>
        <v>0.0113975889221542</v>
      </c>
      <c r="F38" s="11" t="n">
        <f aca="false">IF(ISNUMBER(E38),6*E38,"")</f>
        <v>0.0683855335329254</v>
      </c>
      <c r="G38" s="21" t="n">
        <f aca="false">IF(AND(ISNUMBER(E38),ISNUMBER($N$8)),6*E38/$N$8,"")</f>
        <v>0.113975889221542</v>
      </c>
      <c r="H38" s="21" t="n">
        <f aca="false">IF(AND(ISNUMBER(E38),ISNUMBER($E$42)),IF($E$42&gt;0,E38/$E$42,""),"")</f>
        <v>0.129034731142642</v>
      </c>
      <c r="I38" s="21" t="str">
        <f aca="false">IF(AND(ISNUMBER(E38),ISNUMBER($N$6)),IF($N$6&gt;0,E38/$N$6,""),"")</f>
        <v/>
      </c>
      <c r="K38" s="19" t="s">
        <v>67</v>
      </c>
      <c r="L38" s="19"/>
      <c r="M38" s="19"/>
      <c r="N38" s="11" t="n">
        <v>0.5231</v>
      </c>
    </row>
    <row r="39" customFormat="false" ht="15" hidden="false" customHeight="true" outlineLevel="0" collapsed="false">
      <c r="B39" s="19" t="s">
        <v>68</v>
      </c>
      <c r="C39" s="19"/>
      <c r="D39" s="25" t="n">
        <f aca="false">IF($E$24=90,IF(ISNUMBER(SEARCH("Pooled",$D$34)),0,MAX(0,($F$30-$F$31)/3)),"")</f>
        <v>0</v>
      </c>
      <c r="E39" s="11" t="n">
        <f aca="false">IF(ISNUMBER(D39),SQRT(D39),"")</f>
        <v>0</v>
      </c>
      <c r="F39" s="11" t="n">
        <f aca="false">IF(ISNUMBER(E39),6*E39,"")</f>
        <v>0</v>
      </c>
      <c r="G39" s="21" t="n">
        <f aca="false">IF(AND(ISNUMBER(E39),ISNUMBER($N$8)),6*E39/$N$8,"")</f>
        <v>0</v>
      </c>
      <c r="H39" s="21" t="n">
        <f aca="false">IF(AND(ISNUMBER(E39),ISNUMBER($E$42)),IF($E$42&gt;0,E39/$E$42,""),"")</f>
        <v>0</v>
      </c>
      <c r="I39" s="21" t="str">
        <f aca="false">IF(AND(ISNUMBER(E39),ISNUMBER($N$6)),IF($N$6&gt;0,E39/$N$6,""),"")</f>
        <v/>
      </c>
      <c r="K39" s="19" t="s">
        <v>69</v>
      </c>
      <c r="L39" s="19"/>
      <c r="M39" s="19"/>
      <c r="N39" s="11" t="n">
        <v>0.3146</v>
      </c>
    </row>
    <row r="40" customFormat="false" ht="15" hidden="false" customHeight="true" outlineLevel="0" collapsed="false">
      <c r="B40" s="16" t="s">
        <v>70</v>
      </c>
      <c r="C40" s="16"/>
      <c r="D40" s="25" t="n">
        <f aca="false">IF($E$24=90,D37+D38,"")</f>
        <v>0.000447198480531903</v>
      </c>
      <c r="E40" s="22" t="n">
        <f aca="false">IF(ISNUMBER(D40),SQRT(D40),"")</f>
        <v>0.0211470678944364</v>
      </c>
      <c r="F40" s="11" t="n">
        <f aca="false">IF(ISNUMBER(E40),6*E40,"")</f>
        <v>0.126882407366618</v>
      </c>
      <c r="G40" s="23" t="n">
        <f aca="false">IF(AND(ISNUMBER(E40),ISNUMBER($N$8)),6*E40/$N$8,"")</f>
        <v>0.211470678944364</v>
      </c>
      <c r="H40" s="23" t="n">
        <f aca="false">IF(AND(ISNUMBER(E40),ISNUMBER($E$42)),IF($E$42&gt;0,E40/$E$42,""),"")</f>
        <v>0.239410829680814</v>
      </c>
      <c r="I40" s="21" t="str">
        <f aca="false">IF(AND(ISNUMBER(E40),ISNUMBER($N$6)),IF($N$6&gt;0,E40/$N$6,""),"")</f>
        <v/>
      </c>
      <c r="K40" s="26" t="s">
        <v>71</v>
      </c>
      <c r="L40" s="26"/>
      <c r="M40" s="26"/>
      <c r="N40" s="26"/>
      <c r="O40" s="26"/>
      <c r="P40" s="26"/>
      <c r="Q40" s="26"/>
      <c r="R40" s="26"/>
      <c r="S40" s="26"/>
    </row>
    <row r="41" customFormat="false" ht="15" hidden="false" customHeight="true" outlineLevel="0" collapsed="false">
      <c r="B41" s="19" t="s">
        <v>72</v>
      </c>
      <c r="C41" s="19"/>
      <c r="D41" s="25" t="n">
        <f aca="false">IF($E$24=90,IF(ISNUMBER(SEARCH("Pooled",$D$34)),MAX(0,($F$28-(($E$30+$E$31)/78))/9),MAX(0,($F$28-$F$30)/9)),"")</f>
        <v>0.0073549234989975</v>
      </c>
      <c r="E41" s="11" t="n">
        <f aca="false">IF(ISNUMBER(D41),SQRT(D41),"")</f>
        <v>0.0857608506196009</v>
      </c>
      <c r="F41" s="11" t="n">
        <f aca="false">IF(ISNUMBER(E41),6*E41,"")</f>
        <v>0.514565103717605</v>
      </c>
      <c r="H41" s="21" t="n">
        <f aca="false">IF(AND(ISNUMBER(E41),ISNUMBER($E$42)),IF($E$42&gt;0,E41/$E$42,""),"")</f>
        <v>0.970918356316093</v>
      </c>
      <c r="K41" s="26"/>
      <c r="L41" s="26"/>
      <c r="M41" s="26"/>
      <c r="N41" s="26"/>
      <c r="O41" s="26"/>
      <c r="P41" s="26"/>
      <c r="Q41" s="26"/>
      <c r="R41" s="26"/>
      <c r="S41" s="26"/>
    </row>
    <row r="42" customFormat="false" ht="15" hidden="false" customHeight="true" outlineLevel="0" collapsed="false">
      <c r="B42" s="19" t="s">
        <v>73</v>
      </c>
      <c r="C42" s="19"/>
      <c r="D42" s="25" t="n">
        <f aca="false">IF($E$24=90,D40+D41,"")</f>
        <v>0.0078021219795294</v>
      </c>
      <c r="E42" s="11" t="n">
        <f aca="false">IF(ISNUMBER(D42),SQRT(D42),"")</f>
        <v>0.0883296211897764</v>
      </c>
      <c r="F42" s="11" t="n">
        <f aca="false">IF(ISNUMBER(E42),6*E42,"")</f>
        <v>0.529977727138659</v>
      </c>
      <c r="H42" s="21" t="n">
        <f aca="false">IF(AND(ISNUMBER(E42),ISNUMBER($E$42)),IF($E$42&gt;0,E42/$E$42,""),"")</f>
        <v>1</v>
      </c>
    </row>
    <row r="44" customFormat="false" ht="15" hidden="false" customHeight="true" outlineLevel="0" collapsed="false">
      <c r="B44" s="3" t="s">
        <v>74</v>
      </c>
      <c r="C44" s="3"/>
      <c r="D44" s="3"/>
      <c r="E44" s="3"/>
      <c r="F44" s="3"/>
      <c r="G44" s="27" t="n">
        <f aca="false">IF(AND(ISNUMBER(E41),ISNUMBER(E40)),IF(E40&gt;0,INT(1.41*E41/E40),""),"")</f>
        <v>5</v>
      </c>
    </row>
    <row r="46" customFormat="false" ht="15" hidden="false" customHeight="false" outlineLevel="0" collapsed="false">
      <c r="B46" s="8" t="s">
        <v>75</v>
      </c>
    </row>
    <row r="47" customFormat="false" ht="15.75" hidden="false" customHeight="true" outlineLevel="0" collapsed="false">
      <c r="B47" s="16" t="s">
        <v>76</v>
      </c>
      <c r="C47" s="16"/>
      <c r="D47" s="16"/>
      <c r="E47" s="16"/>
      <c r="F47" s="16"/>
      <c r="G47" s="16"/>
      <c r="H47" s="16"/>
      <c r="I47" s="23" t="n">
        <f aca="false">G40</f>
        <v>0.211470678944364</v>
      </c>
      <c r="J47" s="28" t="str">
        <f aca="false">IF(ISNUMBER(G40),IF(G40&lt;0.1,"Under 10% — generally acceptable",IF(G40&lt;=0.3,"10–30% — may be acceptable: record the decision and reasons","Over 30% — not acceptable: improve the measurement system")),"")</f>
        <v>10–30% — may be acceptable: record the decision and reasons</v>
      </c>
      <c r="K47" s="28"/>
      <c r="L47" s="28"/>
      <c r="M47" s="28"/>
      <c r="N47" s="28"/>
      <c r="O47" s="28"/>
      <c r="P47" s="28"/>
      <c r="Q47" s="28"/>
      <c r="R47" s="28"/>
      <c r="S47" s="28"/>
    </row>
    <row r="48" customFormat="false" ht="15.75" hidden="false" customHeight="true" outlineLevel="0" collapsed="false">
      <c r="B48" s="16" t="s">
        <v>77</v>
      </c>
      <c r="C48" s="16"/>
      <c r="D48" s="16"/>
      <c r="E48" s="16"/>
      <c r="F48" s="16"/>
      <c r="G48" s="16"/>
      <c r="H48" s="16"/>
      <c r="I48" s="23" t="n">
        <f aca="false">H40</f>
        <v>0.239410829680814</v>
      </c>
      <c r="J48" s="28" t="str">
        <f aca="false">IF(ISNUMBER(H40),IF(H40&lt;0.1,"Under 10% — generally acceptable",IF(H40&lt;=0.3,"10–30% — may be acceptable: record the decision and reasons","Over 30% — not acceptable: improve the measurement system")),"")</f>
        <v>10–30% — may be acceptable: record the decision and reasons</v>
      </c>
      <c r="K48" s="28"/>
      <c r="L48" s="28"/>
      <c r="M48" s="28"/>
      <c r="N48" s="28"/>
      <c r="O48" s="28"/>
      <c r="P48" s="28"/>
      <c r="Q48" s="28"/>
      <c r="R48" s="28"/>
      <c r="S48" s="28"/>
    </row>
    <row r="49" customFormat="false" ht="15.75" hidden="false" customHeight="true" outlineLevel="0" collapsed="false">
      <c r="B49" s="16" t="s">
        <v>78</v>
      </c>
      <c r="C49" s="16"/>
      <c r="D49" s="16"/>
      <c r="E49" s="16"/>
      <c r="F49" s="16"/>
      <c r="G49" s="16"/>
      <c r="H49" s="16"/>
      <c r="I49" s="23" t="str">
        <f aca="false">I40</f>
        <v/>
      </c>
      <c r="J49" s="28" t="str">
        <f aca="false">IF(ISNUMBER(I40),IF(I40&lt;0.1,"Under 10% — generally acceptable",IF(I40&lt;=0.3,"10–30% — may be acceptable: record the decision and reasons","Over 30% — not acceptable: improve the measurement system")),"")</f>
        <v/>
      </c>
      <c r="K49" s="28"/>
      <c r="L49" s="28"/>
      <c r="M49" s="28"/>
      <c r="N49" s="28"/>
      <c r="O49" s="28"/>
      <c r="P49" s="28"/>
      <c r="Q49" s="28"/>
      <c r="R49" s="28"/>
      <c r="S49" s="28"/>
    </row>
    <row r="50" customFormat="false" ht="15.75" hidden="false" customHeight="true" outlineLevel="0" collapsed="false">
      <c r="B50" s="16" t="s">
        <v>79</v>
      </c>
      <c r="C50" s="16"/>
      <c r="D50" s="16"/>
      <c r="E50" s="16"/>
      <c r="F50" s="16"/>
      <c r="G50" s="16"/>
      <c r="H50" s="16"/>
      <c r="I50" s="27" t="n">
        <f aca="false">G44</f>
        <v>5</v>
      </c>
      <c r="J50" s="28" t="str">
        <f aca="false">IF(ISNUMBER(G44),IF(G44&gt;=5,"ndc ≥ 5 — adequate discrimination for process control","ndc &lt; 5 — cannot discriminate enough for process control"),"")</f>
        <v>ndc ≥ 5 — adequate discrimination for process control</v>
      </c>
      <c r="K50" s="28"/>
      <c r="L50" s="28"/>
      <c r="M50" s="28"/>
      <c r="N50" s="28"/>
      <c r="O50" s="28"/>
      <c r="P50" s="28"/>
      <c r="Q50" s="28"/>
      <c r="R50" s="28"/>
      <c r="S50" s="28"/>
    </row>
    <row r="51" customFormat="false" ht="15" hidden="false" customHeight="true" outlineLevel="0" collapsed="false">
      <c r="B51" s="16" t="s">
        <v>80</v>
      </c>
      <c r="C51" s="16"/>
      <c r="D51" s="16"/>
      <c r="E51" s="16"/>
      <c r="F51" s="16"/>
      <c r="G51" s="16"/>
      <c r="H51" s="16"/>
      <c r="J51" s="28" t="str">
        <f aca="false">IF(AND(ISNUMBER(E37),ISNUMBER(E38)),IF(E37&gt;=E38,"Repeatability dominates — look at the instrument, fixturing and how the part sits / where it is measured","Reproducibility dominates — look at method, training and technique between appraisers"),"")</f>
        <v>Repeatability dominates — look at the instrument, fixturing and how the part sits / where it is measured</v>
      </c>
      <c r="K51" s="28"/>
      <c r="L51" s="28"/>
      <c r="M51" s="28"/>
      <c r="N51" s="28"/>
      <c r="O51" s="28"/>
      <c r="P51" s="28"/>
      <c r="Q51" s="28"/>
      <c r="R51" s="28"/>
      <c r="S51" s="28"/>
    </row>
    <row r="52" customFormat="false" ht="39.75" hidden="false" customHeight="true" outlineLevel="0" collapsed="false">
      <c r="B52" s="16" t="s">
        <v>81</v>
      </c>
      <c r="C52" s="16"/>
      <c r="D52" s="16"/>
      <c r="E52" s="16"/>
      <c r="F52" s="16"/>
      <c r="G52" s="16"/>
      <c r="H52" s="16"/>
      <c r="J52" s="33" t="s">
        <v>90</v>
      </c>
      <c r="K52" s="33"/>
      <c r="L52" s="33"/>
      <c r="M52" s="33"/>
      <c r="N52" s="33"/>
      <c r="O52" s="33"/>
      <c r="P52" s="33"/>
      <c r="Q52" s="33"/>
      <c r="R52" s="33"/>
      <c r="S52" s="33"/>
    </row>
    <row r="54" customFormat="false" ht="15" hidden="false" customHeight="false" outlineLevel="0" collapsed="false">
      <c r="B54" s="30" t="s">
        <v>82</v>
      </c>
      <c r="C54" s="30"/>
      <c r="D54" s="30"/>
      <c r="E54" s="30"/>
      <c r="F54" s="30"/>
      <c r="G54" s="30"/>
      <c r="H54" s="30"/>
      <c r="I54" s="30"/>
      <c r="J54" s="30"/>
      <c r="K54" s="30"/>
      <c r="L54" s="30"/>
      <c r="M54" s="30"/>
      <c r="N54" s="30"/>
      <c r="O54" s="30"/>
      <c r="P54" s="30"/>
      <c r="Q54" s="30"/>
      <c r="R54" s="30"/>
      <c r="S54" s="30"/>
    </row>
  </sheetData>
  <mergeCells count="70">
    <mergeCell ref="B2:S2"/>
    <mergeCell ref="B4:C4"/>
    <mergeCell ref="D4:H4"/>
    <mergeCell ref="J4:M4"/>
    <mergeCell ref="N4:O4"/>
    <mergeCell ref="B5:C5"/>
    <mergeCell ref="D5:H5"/>
    <mergeCell ref="J5:M5"/>
    <mergeCell ref="N5:O5"/>
    <mergeCell ref="B6:C6"/>
    <mergeCell ref="D6:H6"/>
    <mergeCell ref="J6:M6"/>
    <mergeCell ref="N6:O6"/>
    <mergeCell ref="B7:C7"/>
    <mergeCell ref="D7:H7"/>
    <mergeCell ref="J7:M7"/>
    <mergeCell ref="N7:R7"/>
    <mergeCell ref="J8:M8"/>
    <mergeCell ref="C11:E11"/>
    <mergeCell ref="F11:H11"/>
    <mergeCell ref="I11:K11"/>
    <mergeCell ref="M11:S11"/>
    <mergeCell ref="C23:E23"/>
    <mergeCell ref="F23:H23"/>
    <mergeCell ref="I23:K23"/>
    <mergeCell ref="B24:D24"/>
    <mergeCell ref="F24:K24"/>
    <mergeCell ref="B27:C27"/>
    <mergeCell ref="K27:M27"/>
    <mergeCell ref="B28:C28"/>
    <mergeCell ref="K28:M28"/>
    <mergeCell ref="B29:C29"/>
    <mergeCell ref="K29:M29"/>
    <mergeCell ref="B30:C30"/>
    <mergeCell ref="K30:M30"/>
    <mergeCell ref="B31:C31"/>
    <mergeCell ref="K31:M31"/>
    <mergeCell ref="B32:C32"/>
    <mergeCell ref="K32:M32"/>
    <mergeCell ref="K33:M33"/>
    <mergeCell ref="B34:C34"/>
    <mergeCell ref="D34:H34"/>
    <mergeCell ref="K34:M34"/>
    <mergeCell ref="K35:M35"/>
    <mergeCell ref="B36:C36"/>
    <mergeCell ref="K36:M36"/>
    <mergeCell ref="B37:C37"/>
    <mergeCell ref="K37:M37"/>
    <mergeCell ref="B38:C38"/>
    <mergeCell ref="K38:M38"/>
    <mergeCell ref="B39:C39"/>
    <mergeCell ref="K39:M39"/>
    <mergeCell ref="B40:C40"/>
    <mergeCell ref="K40:S41"/>
    <mergeCell ref="B41:C41"/>
    <mergeCell ref="B42:C42"/>
    <mergeCell ref="B44:F44"/>
    <mergeCell ref="B47:H47"/>
    <mergeCell ref="J47:S47"/>
    <mergeCell ref="B48:H48"/>
    <mergeCell ref="J48:S48"/>
    <mergeCell ref="B49:H49"/>
    <mergeCell ref="J49:S49"/>
    <mergeCell ref="B50:H50"/>
    <mergeCell ref="J50:S50"/>
    <mergeCell ref="B51:H51"/>
    <mergeCell ref="J51:S51"/>
    <mergeCell ref="B52:H52"/>
    <mergeCell ref="J52:S52"/>
    <mergeCell ref="B54:S54"/>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&amp;LQlause · qlause.app&amp;R&amp;A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4C5C"/>
    <pageSetUpPr fitToPage="true"/>
  </sheetPr>
  <dimension ref="B1:K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1"/>
    <col collapsed="false" customWidth="true" hidden="false" outlineLevel="0" max="7" min="3" style="0" width="10"/>
    <col collapsed="false" customWidth="true" hidden="false" outlineLevel="0" max="8" min="8" style="0" width="3"/>
    <col collapsed="false" customWidth="true" hidden="false" outlineLevel="0" max="9" min="9" style="0" width="26"/>
    <col collapsed="false" customWidth="true" hidden="false" outlineLevel="0" max="10" min="10" style="0" width="12"/>
    <col collapsed="false" customWidth="true" hidden="false" outlineLevel="0" max="11" min="11" style="0" width="40"/>
    <col collapsed="false" customWidth="true" hidden="false" outlineLevel="0" max="12" min="12" style="0" width="2.5"/>
  </cols>
  <sheetData>
    <row r="1" customFormat="false" ht="19.7" hidden="false" customHeight="false" outlineLevel="0" collapsed="false">
      <c r="B1" s="1" t="s">
        <v>91</v>
      </c>
    </row>
    <row r="2" customFormat="false" ht="30" hidden="false" customHeight="true" outlineLevel="0" collapsed="false">
      <c r="B2" s="2" t="s">
        <v>92</v>
      </c>
      <c r="C2" s="2"/>
      <c r="D2" s="2"/>
      <c r="E2" s="2"/>
      <c r="F2" s="2"/>
      <c r="G2" s="2"/>
      <c r="H2" s="2"/>
      <c r="I2" s="2"/>
      <c r="J2" s="2"/>
      <c r="K2" s="2"/>
    </row>
    <row r="4" customFormat="false" ht="15" hidden="false" customHeight="true" outlineLevel="0" collapsed="false">
      <c r="B4" s="3" t="s">
        <v>2</v>
      </c>
      <c r="C4" s="3"/>
      <c r="D4" s="4"/>
      <c r="E4" s="4"/>
      <c r="F4" s="4"/>
      <c r="G4" s="4"/>
    </row>
    <row r="5" customFormat="false" ht="15" hidden="false" customHeight="true" outlineLevel="0" collapsed="false">
      <c r="B5" s="3" t="s">
        <v>93</v>
      </c>
      <c r="C5" s="3"/>
      <c r="D5" s="5"/>
    </row>
    <row r="6" customFormat="false" ht="15" hidden="false" customHeight="true" outlineLevel="0" collapsed="false">
      <c r="B6" s="3" t="s">
        <v>94</v>
      </c>
      <c r="C6" s="3"/>
      <c r="D6" s="5"/>
    </row>
    <row r="7" customFormat="false" ht="15" hidden="false" customHeight="true" outlineLevel="0" collapsed="false">
      <c r="B7" s="3" t="s">
        <v>95</v>
      </c>
      <c r="C7" s="3"/>
      <c r="D7" s="5"/>
    </row>
    <row r="9" customFormat="false" ht="15" hidden="false" customHeight="false" outlineLevel="0" collapsed="false">
      <c r="B9" s="9" t="s">
        <v>96</v>
      </c>
      <c r="C9" s="9" t="s">
        <v>97</v>
      </c>
      <c r="D9" s="9" t="s">
        <v>98</v>
      </c>
      <c r="E9" s="9" t="s">
        <v>99</v>
      </c>
      <c r="F9" s="9" t="s">
        <v>100</v>
      </c>
      <c r="G9" s="9" t="s">
        <v>101</v>
      </c>
      <c r="I9" s="9" t="s">
        <v>102</v>
      </c>
      <c r="J9" s="9" t="s">
        <v>41</v>
      </c>
      <c r="K9" s="9" t="s">
        <v>103</v>
      </c>
    </row>
    <row r="10" customFormat="false" ht="15" hidden="false" customHeight="false" outlineLevel="0" collapsed="false">
      <c r="B10" s="10" t="s">
        <v>104</v>
      </c>
      <c r="C10" s="5"/>
      <c r="D10" s="5"/>
      <c r="E10" s="5"/>
      <c r="F10" s="5"/>
      <c r="G10" s="5"/>
      <c r="I10" s="34" t="s">
        <v>105</v>
      </c>
      <c r="J10" s="14" t="n">
        <f aca="false">COUNT($C$10:$G$19)</f>
        <v>0</v>
      </c>
      <c r="K10" s="28"/>
    </row>
    <row r="11" customFormat="false" ht="15" hidden="false" customHeight="false" outlineLevel="0" collapsed="false">
      <c r="B11" s="10" t="s">
        <v>106</v>
      </c>
      <c r="C11" s="5"/>
      <c r="D11" s="5"/>
      <c r="E11" s="5"/>
      <c r="F11" s="5"/>
      <c r="G11" s="5"/>
      <c r="I11" s="34" t="s">
        <v>107</v>
      </c>
      <c r="J11" s="7" t="str">
        <f aca="false">IF(AND(ISNUMBER($D$6),ISNUMBER($D$7)),$D$7-$D$6,"")</f>
        <v/>
      </c>
      <c r="K11" s="28"/>
    </row>
    <row r="12" customFormat="false" ht="15" hidden="false" customHeight="false" outlineLevel="0" collapsed="false">
      <c r="B12" s="10" t="s">
        <v>108</v>
      </c>
      <c r="C12" s="5"/>
      <c r="D12" s="5"/>
      <c r="E12" s="5"/>
      <c r="F12" s="5"/>
      <c r="G12" s="5"/>
      <c r="I12" s="34" t="s">
        <v>109</v>
      </c>
      <c r="J12" s="11" t="str">
        <f aca="false">IF(J10&gt;=2,AVERAGE($C$10:$G$19),"")</f>
        <v/>
      </c>
      <c r="K12" s="28"/>
    </row>
    <row r="13" customFormat="false" ht="15" hidden="false" customHeight="false" outlineLevel="0" collapsed="false">
      <c r="B13" s="10" t="s">
        <v>110</v>
      </c>
      <c r="C13" s="5"/>
      <c r="D13" s="5"/>
      <c r="E13" s="5"/>
      <c r="F13" s="5"/>
      <c r="G13" s="5"/>
      <c r="I13" s="34" t="s">
        <v>111</v>
      </c>
      <c r="J13" s="35" t="str">
        <f aca="false">IF(J10&gt;=2,STDEV($C$10:$G$19),"")</f>
        <v/>
      </c>
      <c r="K13" s="28"/>
    </row>
    <row r="14" customFormat="false" ht="15" hidden="false" customHeight="false" outlineLevel="0" collapsed="false">
      <c r="B14" s="10" t="s">
        <v>112</v>
      </c>
      <c r="C14" s="5"/>
      <c r="D14" s="5"/>
      <c r="E14" s="5"/>
      <c r="F14" s="5"/>
      <c r="G14" s="5"/>
      <c r="I14" s="34" t="s">
        <v>113</v>
      </c>
      <c r="J14" s="11" t="str">
        <f aca="false">IF(AND(ISNUMBER(J12),ISNUMBER($D$5)),J12-$D$5,"")</f>
        <v/>
      </c>
      <c r="K14" s="28"/>
    </row>
    <row r="15" customFormat="false" ht="15" hidden="false" customHeight="false" outlineLevel="0" collapsed="false">
      <c r="B15" s="10" t="s">
        <v>114</v>
      </c>
      <c r="C15" s="5"/>
      <c r="D15" s="5"/>
      <c r="E15" s="5"/>
      <c r="F15" s="5"/>
      <c r="G15" s="5"/>
      <c r="I15" s="34" t="s">
        <v>115</v>
      </c>
      <c r="J15" s="21" t="str">
        <f aca="false">IF(AND(ISNUMBER(J14),ISNUMBER(J11)),ABS(J14)/J11,"")</f>
        <v/>
      </c>
      <c r="K15" s="28"/>
    </row>
    <row r="16" customFormat="false" ht="15" hidden="false" customHeight="false" outlineLevel="0" collapsed="false">
      <c r="B16" s="10" t="s">
        <v>116</v>
      </c>
      <c r="C16" s="5"/>
      <c r="D16" s="5"/>
      <c r="E16" s="5"/>
      <c r="F16" s="5"/>
      <c r="G16" s="5"/>
      <c r="I16" s="34" t="s">
        <v>117</v>
      </c>
      <c r="J16" s="36" t="str">
        <f aca="false">IF(AND(ISNUMBER(J14),N(J13)&gt;0),J14/(J13/SQRT(J10)),"")</f>
        <v/>
      </c>
      <c r="K16" s="28"/>
    </row>
    <row r="17" customFormat="false" ht="15" hidden="false" customHeight="false" outlineLevel="0" collapsed="false">
      <c r="B17" s="10" t="s">
        <v>118</v>
      </c>
      <c r="C17" s="5"/>
      <c r="D17" s="5"/>
      <c r="E17" s="5"/>
      <c r="F17" s="5"/>
      <c r="G17" s="5"/>
      <c r="I17" s="34" t="s">
        <v>119</v>
      </c>
      <c r="J17" s="20" t="str">
        <f aca="false">IF(ISNUMBER(J16),TDIST(ABS(J16),J10-1,2),"")</f>
        <v/>
      </c>
      <c r="K17" s="28" t="str">
        <f aca="false">IF(ISNUMBER(J17),IF(J17&lt;0.05,"Bias statistically significant — judge its size against the tolerance","Bias not statistically different from zero"),"")</f>
        <v/>
      </c>
    </row>
    <row r="18" customFormat="false" ht="15" hidden="false" customHeight="false" outlineLevel="0" collapsed="false">
      <c r="B18" s="10" t="s">
        <v>120</v>
      </c>
      <c r="C18" s="5"/>
      <c r="D18" s="5"/>
      <c r="E18" s="5"/>
      <c r="F18" s="5"/>
      <c r="G18" s="5"/>
      <c r="I18" s="37" t="s">
        <v>121</v>
      </c>
      <c r="J18" s="38" t="str">
        <f aca="false">IF(AND(ISNUMBER(J11),N(J13)&gt;0),0.2*J11/(6*J13),"")</f>
        <v/>
      </c>
      <c r="K18" s="28" t="str">
        <f aca="false">IF(ISNUMBER(J18),IF(J18&gt;=1.33,"≥ 1.33 — capable","&lt; 1.33 — not capable for this tolerance"),"")</f>
        <v/>
      </c>
    </row>
    <row r="19" customFormat="false" ht="15" hidden="false" customHeight="false" outlineLevel="0" collapsed="false">
      <c r="B19" s="10" t="s">
        <v>122</v>
      </c>
      <c r="C19" s="5"/>
      <c r="D19" s="5"/>
      <c r="E19" s="5"/>
      <c r="F19" s="5"/>
      <c r="G19" s="5"/>
      <c r="I19" s="37" t="s">
        <v>123</v>
      </c>
      <c r="J19" s="38" t="str">
        <f aca="false">IF(AND(ISNUMBER(J11),N(J13)&gt;0),(0.1*J11-ABS(J14))/(3*J13),"")</f>
        <v/>
      </c>
      <c r="K19" s="28" t="str">
        <f aca="false">IF(ISNUMBER(J19),IF(J19&gt;=1.33,"≥ 1.33 — capable","&lt; 1.33 — not capable (check bias as well as spread)"),"")</f>
        <v/>
      </c>
    </row>
    <row r="21" customFormat="false" ht="18" hidden="false" customHeight="true" outlineLevel="0" collapsed="false">
      <c r="B21" s="39" t="s">
        <v>124</v>
      </c>
      <c r="C21" s="39"/>
      <c r="D21" s="39"/>
      <c r="E21" s="39"/>
      <c r="F21" s="39"/>
      <c r="G21" s="39"/>
      <c r="H21" s="39"/>
      <c r="I21" s="39"/>
      <c r="J21" s="39"/>
      <c r="K21" s="39"/>
    </row>
    <row r="22" customFormat="false" ht="18" hidden="false" customHeight="true" outlineLevel="0" collapsed="false">
      <c r="B22" s="39"/>
      <c r="C22" s="39"/>
      <c r="D22" s="39"/>
      <c r="E22" s="39"/>
      <c r="F22" s="39"/>
      <c r="G22" s="39"/>
      <c r="H22" s="39"/>
      <c r="I22" s="39"/>
      <c r="J22" s="39"/>
      <c r="K22" s="39"/>
    </row>
    <row r="24" customFormat="false" ht="15" hidden="false" customHeight="false" outlineLevel="0" collapsed="false">
      <c r="B24" s="30" t="s">
        <v>82</v>
      </c>
      <c r="C24" s="30"/>
      <c r="D24" s="30"/>
      <c r="E24" s="30"/>
      <c r="F24" s="30"/>
      <c r="G24" s="30"/>
      <c r="H24" s="30"/>
      <c r="I24" s="30"/>
      <c r="J24" s="30"/>
      <c r="K24" s="30"/>
    </row>
  </sheetData>
  <mergeCells count="8">
    <mergeCell ref="B2:K2"/>
    <mergeCell ref="B4:C4"/>
    <mergeCell ref="D4:G4"/>
    <mergeCell ref="B5:C5"/>
    <mergeCell ref="B6:C6"/>
    <mergeCell ref="B7:C7"/>
    <mergeCell ref="B21:K22"/>
    <mergeCell ref="B24:K24"/>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&amp;LQlause · qlause.app&amp;R&amp;A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472F"/>
    <pageSetUpPr fitToPage="true"/>
  </sheetPr>
  <dimension ref="B1:K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1"/>
    <col collapsed="false" customWidth="true" hidden="false" outlineLevel="0" max="7" min="3" style="0" width="10"/>
    <col collapsed="false" customWidth="true" hidden="false" outlineLevel="0" max="8" min="8" style="0" width="3"/>
    <col collapsed="false" customWidth="true" hidden="false" outlineLevel="0" max="9" min="9" style="0" width="26"/>
    <col collapsed="false" customWidth="true" hidden="false" outlineLevel="0" max="10" min="10" style="0" width="12"/>
    <col collapsed="false" customWidth="true" hidden="false" outlineLevel="0" max="11" min="11" style="0" width="40"/>
    <col collapsed="false" customWidth="true" hidden="false" outlineLevel="0" max="12" min="12" style="0" width="2.5"/>
  </cols>
  <sheetData>
    <row r="1" customFormat="false" ht="19.7" hidden="false" customHeight="false" outlineLevel="0" collapsed="false">
      <c r="B1" s="1" t="s">
        <v>125</v>
      </c>
    </row>
    <row r="2" customFormat="false" ht="30" hidden="false" customHeight="true" outlineLevel="0" collapsed="false">
      <c r="B2" s="2" t="s">
        <v>126</v>
      </c>
      <c r="C2" s="2"/>
      <c r="D2" s="2"/>
      <c r="E2" s="2"/>
      <c r="F2" s="2"/>
      <c r="G2" s="2"/>
      <c r="H2" s="2"/>
      <c r="I2" s="2"/>
      <c r="J2" s="2"/>
      <c r="K2" s="2"/>
    </row>
    <row r="4" customFormat="false" ht="15" hidden="false" customHeight="true" outlineLevel="0" collapsed="false">
      <c r="B4" s="3" t="s">
        <v>2</v>
      </c>
      <c r="C4" s="3"/>
      <c r="D4" s="31" t="s">
        <v>127</v>
      </c>
      <c r="E4" s="31"/>
      <c r="F4" s="31"/>
      <c r="G4" s="31"/>
    </row>
    <row r="5" customFormat="false" ht="15" hidden="false" customHeight="true" outlineLevel="0" collapsed="false">
      <c r="B5" s="3" t="s">
        <v>93</v>
      </c>
      <c r="C5" s="3"/>
      <c r="D5" s="32" t="n">
        <v>24.512</v>
      </c>
    </row>
    <row r="6" customFormat="false" ht="15" hidden="false" customHeight="true" outlineLevel="0" collapsed="false">
      <c r="B6" s="3" t="s">
        <v>94</v>
      </c>
      <c r="C6" s="3"/>
      <c r="D6" s="32" t="n">
        <v>24.2</v>
      </c>
    </row>
    <row r="7" customFormat="false" ht="15" hidden="false" customHeight="true" outlineLevel="0" collapsed="false">
      <c r="B7" s="3" t="s">
        <v>95</v>
      </c>
      <c r="C7" s="3"/>
      <c r="D7" s="32" t="n">
        <v>24.8</v>
      </c>
    </row>
    <row r="9" customFormat="false" ht="15" hidden="false" customHeight="false" outlineLevel="0" collapsed="false">
      <c r="B9" s="9" t="s">
        <v>96</v>
      </c>
      <c r="C9" s="9" t="s">
        <v>97</v>
      </c>
      <c r="D9" s="9" t="s">
        <v>98</v>
      </c>
      <c r="E9" s="9" t="s">
        <v>99</v>
      </c>
      <c r="F9" s="9" t="s">
        <v>100</v>
      </c>
      <c r="G9" s="9" t="s">
        <v>101</v>
      </c>
      <c r="I9" s="9" t="s">
        <v>102</v>
      </c>
      <c r="J9" s="9" t="s">
        <v>41</v>
      </c>
      <c r="K9" s="9" t="s">
        <v>103</v>
      </c>
    </row>
    <row r="10" customFormat="false" ht="15" hidden="false" customHeight="false" outlineLevel="0" collapsed="false">
      <c r="B10" s="10" t="s">
        <v>104</v>
      </c>
      <c r="C10" s="32" t="n">
        <v>24.51</v>
      </c>
      <c r="D10" s="32" t="n">
        <v>24.51</v>
      </c>
      <c r="E10" s="32" t="n">
        <v>24.51</v>
      </c>
      <c r="F10" s="32" t="n">
        <v>24.52</v>
      </c>
      <c r="G10" s="32" t="n">
        <v>24.52</v>
      </c>
      <c r="I10" s="34" t="s">
        <v>105</v>
      </c>
      <c r="J10" s="14" t="n">
        <f aca="false">COUNT($C$10:$G$19)</f>
        <v>50</v>
      </c>
      <c r="K10" s="28"/>
    </row>
    <row r="11" customFormat="false" ht="15" hidden="false" customHeight="false" outlineLevel="0" collapsed="false">
      <c r="B11" s="10" t="s">
        <v>106</v>
      </c>
      <c r="C11" s="32" t="n">
        <v>24.51</v>
      </c>
      <c r="D11" s="32" t="n">
        <v>24.52</v>
      </c>
      <c r="E11" s="32" t="n">
        <v>24.52</v>
      </c>
      <c r="F11" s="32" t="n">
        <v>24.52</v>
      </c>
      <c r="G11" s="32" t="n">
        <v>24.52</v>
      </c>
      <c r="I11" s="34" t="s">
        <v>107</v>
      </c>
      <c r="J11" s="7" t="n">
        <f aca="false">IF(AND(ISNUMBER($D$6),ISNUMBER($D$7)),$D$7-$D$6,"")</f>
        <v>0.600000000000001</v>
      </c>
      <c r="K11" s="28"/>
    </row>
    <row r="12" customFormat="false" ht="15" hidden="false" customHeight="false" outlineLevel="0" collapsed="false">
      <c r="B12" s="10" t="s">
        <v>108</v>
      </c>
      <c r="C12" s="32" t="n">
        <v>24.51</v>
      </c>
      <c r="D12" s="32" t="n">
        <v>24.51</v>
      </c>
      <c r="E12" s="32" t="n">
        <v>24.52</v>
      </c>
      <c r="F12" s="32" t="n">
        <v>24.52</v>
      </c>
      <c r="G12" s="32" t="n">
        <v>24.52</v>
      </c>
      <c r="I12" s="34" t="s">
        <v>109</v>
      </c>
      <c r="J12" s="11" t="n">
        <f aca="false">IF(J10&gt;=2,AVERAGE($C$10:$G$19),"")</f>
        <v>24.515</v>
      </c>
      <c r="K12" s="28"/>
    </row>
    <row r="13" customFormat="false" ht="15" hidden="false" customHeight="false" outlineLevel="0" collapsed="false">
      <c r="B13" s="10" t="s">
        <v>110</v>
      </c>
      <c r="C13" s="32" t="n">
        <v>24.51</v>
      </c>
      <c r="D13" s="32" t="n">
        <v>24.52</v>
      </c>
      <c r="E13" s="32" t="n">
        <v>24.52</v>
      </c>
      <c r="F13" s="32" t="n">
        <v>24.51</v>
      </c>
      <c r="G13" s="32" t="n">
        <v>24.51</v>
      </c>
      <c r="I13" s="34" t="s">
        <v>111</v>
      </c>
      <c r="J13" s="35" t="n">
        <f aca="false">IF(J10&gt;=2,STDEV($C$10:$G$19),"")</f>
        <v>0.00580288457473919</v>
      </c>
      <c r="K13" s="28"/>
    </row>
    <row r="14" customFormat="false" ht="15" hidden="false" customHeight="false" outlineLevel="0" collapsed="false">
      <c r="B14" s="10" t="s">
        <v>112</v>
      </c>
      <c r="C14" s="32" t="n">
        <v>24.53</v>
      </c>
      <c r="D14" s="32" t="n">
        <v>24.51</v>
      </c>
      <c r="E14" s="32" t="n">
        <v>24.51</v>
      </c>
      <c r="F14" s="32" t="n">
        <v>24.52</v>
      </c>
      <c r="G14" s="32" t="n">
        <v>24.51</v>
      </c>
      <c r="I14" s="34" t="s">
        <v>113</v>
      </c>
      <c r="J14" s="11" t="n">
        <f aca="false">IF(AND(ISNUMBER(J12),ISNUMBER($D$5)),J12-$D$5,"")</f>
        <v>0.00300000000000011</v>
      </c>
      <c r="K14" s="28"/>
    </row>
    <row r="15" customFormat="false" ht="15" hidden="false" customHeight="false" outlineLevel="0" collapsed="false">
      <c r="B15" s="10" t="s">
        <v>114</v>
      </c>
      <c r="C15" s="32" t="n">
        <v>24.51</v>
      </c>
      <c r="D15" s="32" t="n">
        <v>24.51</v>
      </c>
      <c r="E15" s="32" t="n">
        <v>24.51</v>
      </c>
      <c r="F15" s="32" t="n">
        <v>24.5</v>
      </c>
      <c r="G15" s="32" t="n">
        <v>24.52</v>
      </c>
      <c r="I15" s="34" t="s">
        <v>115</v>
      </c>
      <c r="J15" s="21" t="n">
        <f aca="false">IF(AND(ISNUMBER(J14),ISNUMBER(J11)),ABS(J14)/J11,"")</f>
        <v>0.00500000000000018</v>
      </c>
      <c r="K15" s="28"/>
    </row>
    <row r="16" customFormat="false" ht="15" hidden="false" customHeight="false" outlineLevel="0" collapsed="false">
      <c r="B16" s="10" t="s">
        <v>116</v>
      </c>
      <c r="C16" s="32" t="n">
        <v>24.52</v>
      </c>
      <c r="D16" s="32" t="n">
        <v>24.52</v>
      </c>
      <c r="E16" s="32" t="n">
        <v>24.51</v>
      </c>
      <c r="F16" s="32" t="n">
        <v>24.52</v>
      </c>
      <c r="G16" s="32" t="n">
        <v>24.52</v>
      </c>
      <c r="I16" s="34" t="s">
        <v>117</v>
      </c>
      <c r="J16" s="36" t="n">
        <f aca="false">IF(AND(ISNUMBER(J14),N(J13)&gt;0),J14/(J13/SQRT(J10)),"")</f>
        <v>3.65563077507028</v>
      </c>
      <c r="K16" s="28"/>
    </row>
    <row r="17" customFormat="false" ht="22.35" hidden="false" customHeight="false" outlineLevel="0" collapsed="false">
      <c r="B17" s="10" t="s">
        <v>118</v>
      </c>
      <c r="C17" s="32" t="n">
        <v>24.52</v>
      </c>
      <c r="D17" s="32" t="n">
        <v>24.52</v>
      </c>
      <c r="E17" s="32" t="n">
        <v>24.51</v>
      </c>
      <c r="F17" s="32" t="n">
        <v>24.51</v>
      </c>
      <c r="G17" s="32" t="n">
        <v>24.51</v>
      </c>
      <c r="I17" s="34" t="s">
        <v>119</v>
      </c>
      <c r="J17" s="20" t="n">
        <f aca="false">IF(ISNUMBER(J16),TDIST(ABS(J16),J10-1,2),"")</f>
        <v>0.000625201827509577</v>
      </c>
      <c r="K17" s="28" t="str">
        <f aca="false">IF(ISNUMBER(J17),IF(J17&lt;0.05,"Bias statistically significant — judge its size against the tolerance","Bias not statistically different from zero"),"")</f>
        <v>Bias statistically significant — judge its size against the tolerance</v>
      </c>
    </row>
    <row r="18" customFormat="false" ht="15" hidden="false" customHeight="false" outlineLevel="0" collapsed="false">
      <c r="B18" s="10" t="s">
        <v>120</v>
      </c>
      <c r="C18" s="32" t="n">
        <v>24.52</v>
      </c>
      <c r="D18" s="32" t="n">
        <v>24.52</v>
      </c>
      <c r="E18" s="32" t="n">
        <v>24.52</v>
      </c>
      <c r="F18" s="32" t="n">
        <v>24.52</v>
      </c>
      <c r="G18" s="32" t="n">
        <v>24.51</v>
      </c>
      <c r="I18" s="37" t="s">
        <v>121</v>
      </c>
      <c r="J18" s="38" t="n">
        <f aca="false">IF(AND(ISNUMBER(J11),N(J13)&gt;0),0.2*J11/(6*J13),"")</f>
        <v>3.44656174742179</v>
      </c>
      <c r="K18" s="28" t="str">
        <f aca="false">IF(ISNUMBER(J18),IF(J18&gt;=1.33,"≥ 1.33 — capable","&lt; 1.33 — not capable for this tolerance"),"")</f>
        <v>≥ 1.33 — capable</v>
      </c>
    </row>
    <row r="19" customFormat="false" ht="15" hidden="false" customHeight="false" outlineLevel="0" collapsed="false">
      <c r="B19" s="10" t="s">
        <v>122</v>
      </c>
      <c r="C19" s="32" t="n">
        <v>24.51</v>
      </c>
      <c r="D19" s="32" t="n">
        <v>24.52</v>
      </c>
      <c r="E19" s="32" t="n">
        <v>24.51</v>
      </c>
      <c r="F19" s="32" t="n">
        <v>24.51</v>
      </c>
      <c r="G19" s="32" t="n">
        <v>24.51</v>
      </c>
      <c r="I19" s="37" t="s">
        <v>123</v>
      </c>
      <c r="J19" s="38" t="n">
        <f aca="false">IF(AND(ISNUMBER(J11),N(J13)&gt;0),(0.1*J11-ABS(J14))/(3*J13),"")</f>
        <v>3.27423366005069</v>
      </c>
      <c r="K19" s="28" t="str">
        <f aca="false">IF(ISNUMBER(J19),IF(J19&gt;=1.33,"≥ 1.33 — capable","&lt; 1.33 — not capable (check bias as well as spread)"),"")</f>
        <v>≥ 1.33 — capable</v>
      </c>
    </row>
    <row r="21" customFormat="false" ht="18" hidden="false" customHeight="true" outlineLevel="0" collapsed="false">
      <c r="B21" s="39" t="s">
        <v>124</v>
      </c>
      <c r="C21" s="39"/>
      <c r="D21" s="39"/>
      <c r="E21" s="39"/>
      <c r="F21" s="39"/>
      <c r="G21" s="39"/>
      <c r="H21" s="39"/>
      <c r="I21" s="39"/>
      <c r="J21" s="39"/>
      <c r="K21" s="39"/>
    </row>
    <row r="22" customFormat="false" ht="18" hidden="false" customHeight="true" outlineLevel="0" collapsed="false">
      <c r="B22" s="39"/>
      <c r="C22" s="39"/>
      <c r="D22" s="39"/>
      <c r="E22" s="39"/>
      <c r="F22" s="39"/>
      <c r="G22" s="39"/>
      <c r="H22" s="39"/>
      <c r="I22" s="39"/>
      <c r="J22" s="39"/>
      <c r="K22" s="39"/>
    </row>
    <row r="24" customFormat="false" ht="15" hidden="false" customHeight="false" outlineLevel="0" collapsed="false">
      <c r="B24" s="30" t="s">
        <v>82</v>
      </c>
      <c r="C24" s="30"/>
      <c r="D24" s="30"/>
      <c r="E24" s="30"/>
      <c r="F24" s="30"/>
      <c r="G24" s="30"/>
      <c r="H24" s="30"/>
      <c r="I24" s="30"/>
      <c r="J24" s="30"/>
      <c r="K24" s="30"/>
    </row>
  </sheetData>
  <mergeCells count="8">
    <mergeCell ref="B2:K2"/>
    <mergeCell ref="B4:C4"/>
    <mergeCell ref="D4:G4"/>
    <mergeCell ref="B5:C5"/>
    <mergeCell ref="B6:C6"/>
    <mergeCell ref="B7:C7"/>
    <mergeCell ref="B21:K22"/>
    <mergeCell ref="B24:K24"/>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&amp;LQlause · qlause.app&amp;R&amp;A ·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4C5C"/>
    <pageSetUpPr fitToPage="true"/>
  </sheetPr>
  <dimension ref="B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4"/>
    <col collapsed="false" customWidth="true" hidden="false" outlineLevel="0" max="3" min="3" style="0" width="92"/>
  </cols>
  <sheetData>
    <row r="1" customFormat="false" ht="19.7" hidden="false" customHeight="false" outlineLevel="0" collapsed="false">
      <c r="B1" s="1" t="s">
        <v>128</v>
      </c>
    </row>
    <row r="3" customFormat="false" ht="33.75" hidden="false" customHeight="true" outlineLevel="0" collapsed="false">
      <c r="B3" s="40" t="s">
        <v>129</v>
      </c>
      <c r="C3" s="41" t="s">
        <v>130</v>
      </c>
    </row>
    <row r="4" customFormat="false" ht="18.75" hidden="false" customHeight="true" outlineLevel="0" collapsed="false">
      <c r="B4" s="40" t="s">
        <v>131</v>
      </c>
      <c r="C4" s="41" t="s">
        <v>132</v>
      </c>
    </row>
    <row r="5" customFormat="false" ht="33.75" hidden="false" customHeight="true" outlineLevel="0" collapsed="false">
      <c r="B5" s="40" t="s">
        <v>133</v>
      </c>
      <c r="C5" s="41" t="s">
        <v>134</v>
      </c>
    </row>
    <row r="6" customFormat="false" ht="48.75" hidden="false" customHeight="true" outlineLevel="0" collapsed="false">
      <c r="B6" s="40" t="s">
        <v>135</v>
      </c>
      <c r="C6" s="41" t="s">
        <v>136</v>
      </c>
    </row>
    <row r="7" customFormat="false" ht="33.75" hidden="false" customHeight="true" outlineLevel="0" collapsed="false">
      <c r="B7" s="40" t="s">
        <v>137</v>
      </c>
      <c r="C7" s="41" t="s">
        <v>138</v>
      </c>
    </row>
    <row r="8" customFormat="false" ht="33.75" hidden="false" customHeight="true" outlineLevel="0" collapsed="false">
      <c r="B8" s="40" t="s">
        <v>139</v>
      </c>
      <c r="C8" s="41" t="s">
        <v>140</v>
      </c>
    </row>
    <row r="9" customFormat="false" ht="33.75" hidden="false" customHeight="true" outlineLevel="0" collapsed="false">
      <c r="B9" s="40" t="s">
        <v>141</v>
      </c>
      <c r="C9" s="41" t="s">
        <v>142</v>
      </c>
    </row>
    <row r="10" customFormat="false" ht="33.75" hidden="false" customHeight="true" outlineLevel="0" collapsed="false">
      <c r="B10" s="40" t="s">
        <v>143</v>
      </c>
      <c r="C10" s="41" t="s">
        <v>144</v>
      </c>
    </row>
    <row r="11" customFormat="false" ht="33.75" hidden="false" customHeight="true" outlineLevel="0" collapsed="false">
      <c r="B11" s="40" t="s">
        <v>145</v>
      </c>
      <c r="C11" s="41" t="s">
        <v>146</v>
      </c>
    </row>
    <row r="12" customFormat="false" ht="33.75" hidden="false" customHeight="true" outlineLevel="0" collapsed="false">
      <c r="B12" s="40" t="s">
        <v>147</v>
      </c>
      <c r="C12" s="41" t="s">
        <v>148</v>
      </c>
    </row>
    <row r="13" customFormat="false" ht="33.75" hidden="false" customHeight="true" outlineLevel="0" collapsed="false">
      <c r="B13" s="40"/>
      <c r="C13" s="41" t="s">
        <v>149</v>
      </c>
    </row>
    <row r="14" customFormat="false" ht="33.75" hidden="false" customHeight="true" outlineLevel="0" collapsed="false">
      <c r="B14" s="40"/>
      <c r="C14" s="41" t="s">
        <v>150</v>
      </c>
    </row>
    <row r="16" customFormat="false" ht="15" hidden="false" customHeight="false" outlineLevel="0" collapsed="false">
      <c r="B16" s="42" t="s">
        <v>151</v>
      </c>
      <c r="C16" s="42"/>
    </row>
    <row r="18" customFormat="false" ht="15" hidden="false" customHeight="true" outlineLevel="0" collapsed="false">
      <c r="B18" s="26" t="s">
        <v>82</v>
      </c>
      <c r="C18" s="26"/>
    </row>
  </sheetData>
  <mergeCells count="2">
    <mergeCell ref="B16:C16"/>
    <mergeCell ref="B18:C18"/>
  </mergeCell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&amp;LQlause · qlause.app&amp;R&amp;A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2026-10-22T14:52:37Z</dcterms:created>
  <dc:creator>openpyxl</dc:creator>
  <dc:description/>
  <dc:language>en-US</dc:language>
  <cp:lastModifiedBy/>
  <dcterms:modified xsi:type="dcterms:W3CDTF">2026-10-22T14:52:37Z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